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40" activeTab="0"/>
  </bookViews>
  <sheets>
    <sheet name="Excepted Items Claim" sheetId="1" r:id="rId1"/>
    <sheet name="Calculator" sheetId="2" state="hidden" r:id="rId2"/>
    <sheet name="On Cost Calculator" sheetId="3" state="hidden" r:id="rId3"/>
    <sheet name="Jury Calculations" sheetId="4" state="hidden" r:id="rId4"/>
    <sheet name="Sheet1" sheetId="5" state="hidden" r:id="rId5"/>
  </sheets>
  <externalReferences>
    <externalReference r:id="rId8"/>
  </externalReferences>
  <definedNames>
    <definedName name="_xlnm.Print_Area" localSheetId="1">'Calculator'!$A$1:$H$36</definedName>
    <definedName name="Schools">'[1]Schools List'!$A$2:$A$580</definedName>
    <definedName name="Z_041C8212_EAAA_472A_895C_6E47977022B5_.wvu.PrintArea" localSheetId="1" hidden="1">'Calculator'!$A$1:$H$36</definedName>
    <definedName name="Z_63DC6D63_EF06_4837_8AC0_F7CF03701B2A_.wvu.PrintArea" localSheetId="1" hidden="1">'Calculator'!$A$1:$H$33</definedName>
  </definedNames>
  <calcPr fullCalcOnLoad="1"/>
</workbook>
</file>

<file path=xl/sharedStrings.xml><?xml version="1.0" encoding="utf-8"?>
<sst xmlns="http://schemas.openxmlformats.org/spreadsheetml/2006/main" count="227" uniqueCount="151">
  <si>
    <t>Name of School</t>
  </si>
  <si>
    <t>Contact Name at School</t>
  </si>
  <si>
    <t>Contact Email Address</t>
  </si>
  <si>
    <t>I wish to claim for the following reimbursement:</t>
  </si>
  <si>
    <t>Employee's Name</t>
  </si>
  <si>
    <t>Teacher/Support Staff</t>
  </si>
  <si>
    <t>Full/Part Time</t>
  </si>
  <si>
    <t>If Part Time, Hours Per Week</t>
  </si>
  <si>
    <t>Weeks Per Year (Support Staff Only)</t>
  </si>
  <si>
    <t>Certified By</t>
  </si>
  <si>
    <t>Dates Absent From</t>
  </si>
  <si>
    <t>Dates Absent To</t>
  </si>
  <si>
    <t>Annual Salary</t>
  </si>
  <si>
    <t>Returning</t>
  </si>
  <si>
    <t>Please fill in all required fields</t>
  </si>
  <si>
    <t>Name</t>
  </si>
  <si>
    <t xml:space="preserve"> </t>
  </si>
  <si>
    <t>Salary + on-costs</t>
  </si>
  <si>
    <t>FTE:</t>
  </si>
  <si>
    <t>Max Forecast</t>
  </si>
  <si>
    <t>Return:</t>
  </si>
  <si>
    <t>Occuptional Maternity Pay</t>
  </si>
  <si>
    <t>Figures used</t>
  </si>
  <si>
    <t>Employee receives</t>
  </si>
  <si>
    <t>100% full pay per week</t>
  </si>
  <si>
    <t>4 weeks at full pay</t>
  </si>
  <si>
    <t>90% full pay per week</t>
  </si>
  <si>
    <t>2 weeks at 90% of full pay</t>
  </si>
  <si>
    <t>50% full pay per week</t>
  </si>
  <si>
    <t>12 weeks at 1/2 pay (if returning)</t>
  </si>
  <si>
    <t>Standard SMP per week</t>
  </si>
  <si>
    <t>21 weeks SMP</t>
  </si>
  <si>
    <t>4 x 100% pay</t>
  </si>
  <si>
    <t>plus oncosts</t>
  </si>
  <si>
    <t>x10%</t>
  </si>
  <si>
    <t>4 x 90% pay</t>
  </si>
  <si>
    <t>x8%</t>
  </si>
  <si>
    <t>2 x 9/10 Pay</t>
  </si>
  <si>
    <t>12 x 1/2 Pay</t>
  </si>
  <si>
    <t>all</t>
  </si>
  <si>
    <t>12 x SMP</t>
  </si>
  <si>
    <t xml:space="preserve">21 x SMP </t>
  </si>
  <si>
    <t>TOTAL</t>
  </si>
  <si>
    <t>If Returning</t>
  </si>
  <si>
    <t>If Not Returning</t>
  </si>
  <si>
    <t>Amount owing</t>
  </si>
  <si>
    <t>Monthly</t>
  </si>
  <si>
    <t>Completed by</t>
  </si>
  <si>
    <t>Date</t>
  </si>
  <si>
    <t>Support Staff payments</t>
  </si>
  <si>
    <t>Forecast</t>
  </si>
  <si>
    <t>Occupational Maternity Pay</t>
  </si>
  <si>
    <t>Figures Used</t>
  </si>
  <si>
    <t>6 weeks at 90% of weekly rate</t>
  </si>
  <si>
    <t>12 weeks x 1/2 pay plus SMP (if returning)</t>
  </si>
  <si>
    <t>12 weeks SMP - paid with 12 weeks half-pay</t>
  </si>
  <si>
    <t>8 weeks SMP</t>
  </si>
  <si>
    <t>6 x 9/10 Pay</t>
  </si>
  <si>
    <t>Teachers Payments</t>
  </si>
  <si>
    <t>Reimbursement to School</t>
  </si>
  <si>
    <t>FTE (0-1)</t>
  </si>
  <si>
    <t>Pension</t>
  </si>
  <si>
    <t>Monthly Salary</t>
  </si>
  <si>
    <t>LGPS Employer Contributions %</t>
  </si>
  <si>
    <t>TPS Employer Contributions %</t>
  </si>
  <si>
    <t>National Insurance Employer Contributions %</t>
  </si>
  <si>
    <t>Monthly Earnings</t>
  </si>
  <si>
    <t>Rebate</t>
  </si>
  <si>
    <t>Total</t>
  </si>
  <si>
    <t>In Pension (D) %</t>
  </si>
  <si>
    <t>Amount in bracket</t>
  </si>
  <si>
    <t>To Pay</t>
  </si>
  <si>
    <t>+ salary</t>
  </si>
  <si>
    <t>=</t>
  </si>
  <si>
    <t>Pension Scheme</t>
  </si>
  <si>
    <t>Oncosts</t>
  </si>
  <si>
    <t>In LGPS:</t>
  </si>
  <si>
    <t>In TPS:</t>
  </si>
  <si>
    <t>No pension:</t>
  </si>
  <si>
    <t>Employee's National Insurance No.</t>
  </si>
  <si>
    <r>
      <t xml:space="preserve">Please note this is </t>
    </r>
    <r>
      <rPr>
        <b/>
        <sz val="8"/>
        <color indexed="10"/>
        <rFont val="Arial"/>
        <family val="2"/>
      </rPr>
      <t xml:space="preserve">NOT </t>
    </r>
    <r>
      <rPr>
        <b/>
        <sz val="8"/>
        <color indexed="8"/>
        <rFont val="Arial"/>
        <family val="2"/>
      </rPr>
      <t xml:space="preserve">including any oncosts. Salary should be </t>
    </r>
    <r>
      <rPr>
        <b/>
        <sz val="8"/>
        <color indexed="10"/>
        <rFont val="Arial"/>
        <family val="2"/>
      </rPr>
      <t>FULL TIME EQUIVALENT</t>
    </r>
    <r>
      <rPr>
        <b/>
        <sz val="8"/>
        <color indexed="8"/>
        <rFont val="Arial"/>
        <family val="2"/>
      </rPr>
      <t xml:space="preserve"> annual salary + any extra allowances e.g. SEN allowances.</t>
    </r>
  </si>
  <si>
    <t>Once complete, please click 'Send Form', and attach any other documents related to this claim.</t>
  </si>
  <si>
    <t>DFE Number</t>
  </si>
  <si>
    <t>Excepted Items Claim Form</t>
  </si>
  <si>
    <t>Hours Worked Each Day</t>
  </si>
  <si>
    <t>Mon:</t>
  </si>
  <si>
    <t>Tue:</t>
  </si>
  <si>
    <t>Wed:</t>
  </si>
  <si>
    <t>Thu:</t>
  </si>
  <si>
    <t>Fri:</t>
  </si>
  <si>
    <t>Sat:</t>
  </si>
  <si>
    <t>Sun:</t>
  </si>
  <si>
    <t>Mon</t>
  </si>
  <si>
    <t>Tue</t>
  </si>
  <si>
    <t>Wed</t>
  </si>
  <si>
    <t>Thu</t>
  </si>
  <si>
    <t>Fri</t>
  </si>
  <si>
    <t>Hours Worked</t>
  </si>
  <si>
    <t>FTE</t>
  </si>
  <si>
    <t>Daily Rate</t>
  </si>
  <si>
    <t>Weekly</t>
  </si>
  <si>
    <t>Hourly Rate</t>
  </si>
  <si>
    <t>Maximum Daily amount for loss of earnings from court (Unless salary is less)</t>
  </si>
  <si>
    <t>First 10 days - 4 hours or under</t>
  </si>
  <si>
    <t>First 10 days - Over 4 hours</t>
  </si>
  <si>
    <t>Day 11 - 200 - 4 hours or under</t>
  </si>
  <si>
    <t>Day 11 - 200 - Over 4 hours</t>
  </si>
  <si>
    <t>After day 201 - 4 hours or under</t>
  </si>
  <si>
    <t>After day 201 - Over 4 hours</t>
  </si>
  <si>
    <t>Total Pay</t>
  </si>
  <si>
    <t>First 10 Days</t>
  </si>
  <si>
    <t>Day 11 - 200</t>
  </si>
  <si>
    <t>After day 201</t>
  </si>
  <si>
    <t>Court Re-Imbursement</t>
  </si>
  <si>
    <t>Days Jury Claimed</t>
  </si>
  <si>
    <t>Full Days</t>
  </si>
  <si>
    <t>Half Days</t>
  </si>
  <si>
    <t>To Re-Imburse School</t>
  </si>
  <si>
    <t>Support Staff</t>
  </si>
  <si>
    <t>Eers Pen</t>
  </si>
  <si>
    <t>Ers NI</t>
  </si>
  <si>
    <t>TPS Eers Contribution rate</t>
  </si>
  <si>
    <t>LGPS Eers Contribution rate</t>
  </si>
  <si>
    <t>No Pension Scheme NI Rate</t>
  </si>
  <si>
    <t>Pension Scheme NI Rate</t>
  </si>
  <si>
    <t>Max Hours/ Day</t>
  </si>
  <si>
    <t>Teachers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</si>
  <si>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If combining two contracts, the Hours Worked and Hourly rate need to be added together and overtyped in rows three and four. </t>
    </r>
  </si>
  <si>
    <t>Will Maternity leave be shared?</t>
  </si>
  <si>
    <t>LEL</t>
  </si>
  <si>
    <t>PT</t>
  </si>
  <si>
    <t>ST</t>
  </si>
  <si>
    <t>UST/AUST</t>
  </si>
  <si>
    <t>UEL</t>
  </si>
  <si>
    <t>AUEL</t>
  </si>
  <si>
    <t>(A) %</t>
  </si>
  <si>
    <t>A) Will employee be receiving SMP/SAP/SPP?</t>
  </si>
  <si>
    <t>B) Will employee be receiving CMP/CAP/CPP?</t>
  </si>
  <si>
    <t>Will receive SMP?</t>
  </si>
  <si>
    <t>Will receive CMP?</t>
  </si>
  <si>
    <t>They have returned to work</t>
  </si>
  <si>
    <t>They have not returned to work</t>
  </si>
  <si>
    <t>Maternity/Adoption Start - Will Return</t>
  </si>
  <si>
    <t>Adoption (Final Claim)</t>
  </si>
  <si>
    <t>Maternity/Adoption Start - May Return</t>
  </si>
  <si>
    <t>Maternity Start</t>
  </si>
  <si>
    <t>Adoption</t>
  </si>
  <si>
    <t xml:space="preserve">Maternity (Final Claim) </t>
  </si>
  <si>
    <t>For 'Start' claims, please check with your payroll provider before answering A) and B)</t>
  </si>
  <si>
    <t>2019/20 rates</t>
  </si>
  <si>
    <t>Maternity (Start)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</si>
</sst>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d\-mmm\-yyyy"/>
    <numFmt numFmtId="166" formatCode="[$-809]dd\ mmmm\ yyyy"/>
    <numFmt numFmtId="167" formatCode="0.0000"/>
    <numFmt numFmtId="168" formatCode="0.00_ ;[Red]\-0.00\ "/>
    <numFmt numFmtId="169" formatCode="0.000"/>
    <numFmt numFmtId="170" formatCode="0.00000000"/>
    <numFmt numFmtId="171" formatCode="0.0000000"/>
    <numFmt numFmtId="172" formatCode="0.000000"/>
    <numFmt numFmtId="173" formatCode="0.00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u val="single"/>
      <sz val="8"/>
      <color indexed="8"/>
      <name val="Arial"/>
      <family val="2"/>
    </font>
    <font>
      <sz val="10"/>
      <color indexed="62"/>
      <name val="Arial"/>
      <family val="2"/>
    </font>
    <font>
      <b/>
      <u val="single"/>
      <sz val="12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"/>
      <color indexed="9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20"/>
      <color indexed="56"/>
      <name val="Calibri"/>
      <family val="2"/>
    </font>
    <font>
      <b/>
      <sz val="20"/>
      <color indexed="2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color indexed="8"/>
      <name val="Calibri"/>
      <family val="2"/>
    </font>
    <font>
      <b/>
      <i/>
      <sz val="9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2"/>
    </font>
    <font>
      <sz val="6"/>
      <color indexed="23"/>
      <name val="Arial"/>
      <family val="2"/>
    </font>
    <font>
      <b/>
      <sz val="11"/>
      <color indexed="62"/>
      <name val="Arial"/>
      <family val="2"/>
    </font>
    <font>
      <sz val="9"/>
      <color indexed="8"/>
      <name val="Arial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4" tint="-0.24997000396251678"/>
      <name val="Arial"/>
      <family val="2"/>
    </font>
    <font>
      <b/>
      <u val="single"/>
      <sz val="8"/>
      <color theme="1"/>
      <name val="Arial"/>
      <family val="2"/>
    </font>
    <font>
      <sz val="10"/>
      <color theme="4" tint="-0.24997000396251678"/>
      <name val="Arial"/>
      <family val="2"/>
    </font>
    <font>
      <b/>
      <u val="single"/>
      <sz val="12"/>
      <color theme="1"/>
      <name val="Arial"/>
      <family val="2"/>
    </font>
    <font>
      <b/>
      <sz val="14"/>
      <color rgb="FFFF0000"/>
      <name val="Calibri"/>
      <family val="2"/>
    </font>
    <font>
      <b/>
      <sz val="20"/>
      <color theme="3" tint="-0.4999699890613556"/>
      <name val="Calibri"/>
      <family val="2"/>
    </font>
    <font>
      <b/>
      <sz val="20"/>
      <color theme="7" tint="-0.4999699890613556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9"/>
      <color theme="1"/>
      <name val="Calibri"/>
      <family val="2"/>
    </font>
    <font>
      <b/>
      <i/>
      <sz val="9"/>
      <color theme="1" tint="0.34999001026153564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</font>
    <font>
      <b/>
      <sz val="9"/>
      <color theme="1"/>
      <name val="Arial"/>
      <family val="2"/>
    </font>
    <font>
      <sz val="6"/>
      <color theme="0" tint="-0.4999699890613556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4" tint="-0.2499700039625167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 style="thin"/>
      <top style="thin"/>
      <bottom style="medium"/>
    </border>
    <border>
      <left style="thin"/>
      <right style="thick">
        <color rgb="FFFF0000"/>
      </right>
      <top style="thin"/>
      <bottom style="medium"/>
    </border>
    <border>
      <left style="thick">
        <color rgb="FFFF0000"/>
      </left>
      <right style="thin"/>
      <top style="medium"/>
      <bottom style="thin"/>
    </border>
    <border>
      <left style="thin"/>
      <right style="thick">
        <color rgb="FFFF0000"/>
      </right>
      <top style="medium"/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42">
    <xf numFmtId="0" fontId="0" fillId="0" borderId="0" xfId="0" applyFont="1" applyAlignment="1">
      <alignment/>
    </xf>
    <xf numFmtId="0" fontId="73" fillId="33" borderId="0" xfId="0" applyFont="1" applyFill="1" applyAlignment="1">
      <alignment/>
    </xf>
    <xf numFmtId="0" fontId="73" fillId="34" borderId="0" xfId="0" applyFont="1" applyFill="1" applyAlignment="1">
      <alignment/>
    </xf>
    <xf numFmtId="0" fontId="73" fillId="33" borderId="0" xfId="0" applyFont="1" applyFill="1" applyAlignment="1">
      <alignment vertical="center"/>
    </xf>
    <xf numFmtId="0" fontId="74" fillId="33" borderId="0" xfId="0" applyFont="1" applyFill="1" applyAlignment="1">
      <alignment horizontal="left" vertical="center" indent="1"/>
    </xf>
    <xf numFmtId="0" fontId="75" fillId="33" borderId="0" xfId="0" applyFont="1" applyFill="1" applyAlignment="1">
      <alignment horizontal="left" vertical="center" wrapText="1"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 vertical="center"/>
    </xf>
    <xf numFmtId="0" fontId="78" fillId="33" borderId="0" xfId="0" applyFont="1" applyFill="1" applyAlignment="1">
      <alignment horizontal="right" vertical="center"/>
    </xf>
    <xf numFmtId="0" fontId="73" fillId="35" borderId="10" xfId="0" applyFont="1" applyFill="1" applyBorder="1" applyAlignment="1" applyProtection="1">
      <alignment horizontal="left" vertical="center"/>
      <protection locked="0"/>
    </xf>
    <xf numFmtId="0" fontId="30" fillId="33" borderId="0" xfId="58" applyFont="1" applyFill="1">
      <alignment/>
      <protection/>
    </xf>
    <xf numFmtId="0" fontId="0" fillId="33" borderId="0" xfId="0" applyFill="1" applyAlignment="1">
      <alignment/>
    </xf>
    <xf numFmtId="0" fontId="31" fillId="33" borderId="0" xfId="58" applyFont="1" applyFill="1">
      <alignment/>
      <protection/>
    </xf>
    <xf numFmtId="164" fontId="31" fillId="33" borderId="10" xfId="58" applyNumberFormat="1" applyFont="1" applyFill="1" applyBorder="1" applyProtection="1">
      <alignment/>
      <protection locked="0"/>
    </xf>
    <xf numFmtId="164" fontId="31" fillId="33" borderId="10" xfId="57" applyNumberFormat="1" applyFont="1" applyFill="1" applyBorder="1" applyProtection="1">
      <alignment/>
      <protection locked="0"/>
    </xf>
    <xf numFmtId="2" fontId="31" fillId="33" borderId="10" xfId="57" applyNumberFormat="1" applyFont="1" applyFill="1" applyBorder="1" applyProtection="1">
      <alignment/>
      <protection locked="0"/>
    </xf>
    <xf numFmtId="0" fontId="31" fillId="33" borderId="10" xfId="58" applyFont="1" applyFill="1" applyBorder="1" applyProtection="1">
      <alignment/>
      <protection locked="0"/>
    </xf>
    <xf numFmtId="0" fontId="32" fillId="33" borderId="0" xfId="58" applyFont="1" applyFill="1">
      <alignment/>
      <protection/>
    </xf>
    <xf numFmtId="0" fontId="71" fillId="33" borderId="0" xfId="0" applyFont="1" applyFill="1" applyAlignment="1">
      <alignment/>
    </xf>
    <xf numFmtId="2" fontId="30" fillId="33" borderId="0" xfId="58" applyNumberFormat="1" applyFont="1" applyFill="1">
      <alignment/>
      <protection/>
    </xf>
    <xf numFmtId="2" fontId="32" fillId="33" borderId="0" xfId="58" applyNumberFormat="1" applyFont="1" applyFill="1">
      <alignment/>
      <protection/>
    </xf>
    <xf numFmtId="0" fontId="1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0" fillId="11" borderId="11" xfId="0" applyFill="1" applyBorder="1" applyAlignment="1">
      <alignment/>
    </xf>
    <xf numFmtId="0" fontId="34" fillId="11" borderId="11" xfId="58" applyFont="1" applyFill="1" applyBorder="1">
      <alignment/>
      <protection/>
    </xf>
    <xf numFmtId="0" fontId="0" fillId="11" borderId="12" xfId="0" applyFill="1" applyBorder="1" applyAlignment="1">
      <alignment/>
    </xf>
    <xf numFmtId="0" fontId="31" fillId="11" borderId="13" xfId="57" applyFont="1" applyFill="1" applyBorder="1">
      <alignment/>
      <protection/>
    </xf>
    <xf numFmtId="0" fontId="31" fillId="11" borderId="0" xfId="57" applyFont="1" applyFill="1">
      <alignment/>
      <protection/>
    </xf>
    <xf numFmtId="0" fontId="0" fillId="11" borderId="0" xfId="0" applyFill="1" applyAlignment="1">
      <alignment/>
    </xf>
    <xf numFmtId="0" fontId="0" fillId="11" borderId="14" xfId="0" applyFill="1" applyBorder="1" applyAlignment="1">
      <alignment/>
    </xf>
    <xf numFmtId="0" fontId="31" fillId="11" borderId="0" xfId="57" applyFont="1" applyFill="1" applyAlignment="1">
      <alignment horizontal="right"/>
      <protection/>
    </xf>
    <xf numFmtId="0" fontId="31" fillId="11" borderId="0" xfId="57" applyFont="1" applyFill="1" applyAlignment="1">
      <alignment horizontal="center"/>
      <protection/>
    </xf>
    <xf numFmtId="2" fontId="31" fillId="11" borderId="0" xfId="57" applyNumberFormat="1" applyFont="1" applyFill="1">
      <alignment/>
      <protection/>
    </xf>
    <xf numFmtId="164" fontId="31" fillId="11" borderId="0" xfId="57" applyNumberFormat="1" applyFont="1" applyFill="1">
      <alignment/>
      <protection/>
    </xf>
    <xf numFmtId="0" fontId="31" fillId="11" borderId="0" xfId="58" applyFont="1" applyFill="1">
      <alignment/>
      <protection/>
    </xf>
    <xf numFmtId="0" fontId="31" fillId="11" borderId="15" xfId="57" applyFont="1" applyFill="1" applyBorder="1">
      <alignment/>
      <protection/>
    </xf>
    <xf numFmtId="0" fontId="31" fillId="11" borderId="16" xfId="57" applyFont="1" applyFill="1" applyBorder="1">
      <alignment/>
      <protection/>
    </xf>
    <xf numFmtId="2" fontId="31" fillId="11" borderId="16" xfId="57" applyNumberFormat="1" applyFont="1" applyFill="1" applyBorder="1">
      <alignment/>
      <protection/>
    </xf>
    <xf numFmtId="0" fontId="31" fillId="11" borderId="16" xfId="57" applyFont="1" applyFill="1" applyBorder="1" applyAlignment="1">
      <alignment horizontal="center"/>
      <protection/>
    </xf>
    <xf numFmtId="0" fontId="31" fillId="11" borderId="16" xfId="57" applyFont="1" applyFill="1" applyBorder="1" applyAlignment="1">
      <alignment horizontal="left"/>
      <protection/>
    </xf>
    <xf numFmtId="0" fontId="0" fillId="11" borderId="17" xfId="0" applyFill="1" applyBorder="1" applyAlignment="1">
      <alignment/>
    </xf>
    <xf numFmtId="0" fontId="30" fillId="36" borderId="11" xfId="58" applyFont="1" applyFill="1" applyBorder="1">
      <alignment/>
      <protection/>
    </xf>
    <xf numFmtId="0" fontId="34" fillId="36" borderId="11" xfId="58" applyFont="1" applyFill="1" applyBorder="1">
      <alignment/>
      <protection/>
    </xf>
    <xf numFmtId="0" fontId="0" fillId="36" borderId="12" xfId="0" applyFill="1" applyBorder="1" applyAlignment="1">
      <alignment/>
    </xf>
    <xf numFmtId="0" fontId="31" fillId="36" borderId="13" xfId="58" applyFont="1" applyFill="1" applyBorder="1">
      <alignment/>
      <protection/>
    </xf>
    <xf numFmtId="0" fontId="31" fillId="36" borderId="0" xfId="58" applyFont="1" applyFill="1">
      <alignment/>
      <protection/>
    </xf>
    <xf numFmtId="0" fontId="0" fillId="36" borderId="14" xfId="0" applyFill="1" applyBorder="1" applyAlignment="1">
      <alignment/>
    </xf>
    <xf numFmtId="0" fontId="31" fillId="36" borderId="0" xfId="58" applyFont="1" applyFill="1" applyAlignment="1">
      <alignment horizontal="right"/>
      <protection/>
    </xf>
    <xf numFmtId="2" fontId="31" fillId="36" borderId="0" xfId="58" applyNumberFormat="1" applyFont="1" applyFill="1">
      <alignment/>
      <protection/>
    </xf>
    <xf numFmtId="164" fontId="31" fillId="36" borderId="0" xfId="58" applyNumberFormat="1" applyFont="1" applyFill="1">
      <alignment/>
      <protection/>
    </xf>
    <xf numFmtId="0" fontId="31" fillId="36" borderId="15" xfId="58" applyFont="1" applyFill="1" applyBorder="1">
      <alignment/>
      <protection/>
    </xf>
    <xf numFmtId="0" fontId="31" fillId="36" borderId="16" xfId="58" applyFont="1" applyFill="1" applyBorder="1">
      <alignment/>
      <protection/>
    </xf>
    <xf numFmtId="2" fontId="31" fillId="36" borderId="16" xfId="58" applyNumberFormat="1" applyFont="1" applyFill="1" applyBorder="1">
      <alignment/>
      <protection/>
    </xf>
    <xf numFmtId="0" fontId="31" fillId="36" borderId="16" xfId="58" applyFont="1" applyFill="1" applyBorder="1" applyAlignment="1">
      <alignment horizontal="left"/>
      <protection/>
    </xf>
    <xf numFmtId="0" fontId="0" fillId="36" borderId="17" xfId="0" applyFill="1" applyBorder="1" applyAlignment="1">
      <alignment/>
    </xf>
    <xf numFmtId="0" fontId="35" fillId="2" borderId="18" xfId="58" applyFont="1" applyFill="1" applyBorder="1">
      <alignment/>
      <protection/>
    </xf>
    <xf numFmtId="0" fontId="35" fillId="2" borderId="11" xfId="58" applyFont="1" applyFill="1" applyBorder="1">
      <alignment/>
      <protection/>
    </xf>
    <xf numFmtId="0" fontId="0" fillId="2" borderId="12" xfId="0" applyFill="1" applyBorder="1" applyAlignment="1">
      <alignment/>
    </xf>
    <xf numFmtId="0" fontId="36" fillId="2" borderId="13" xfId="58" applyFont="1" applyFill="1" applyBorder="1">
      <alignment/>
      <protection/>
    </xf>
    <xf numFmtId="0" fontId="36" fillId="2" borderId="0" xfId="58" applyFont="1" applyFill="1">
      <alignment/>
      <protection/>
    </xf>
    <xf numFmtId="0" fontId="0" fillId="2" borderId="14" xfId="0" applyFill="1" applyBorder="1" applyAlignment="1">
      <alignment/>
    </xf>
    <xf numFmtId="0" fontId="30" fillId="2" borderId="13" xfId="58" applyFont="1" applyFill="1" applyBorder="1">
      <alignment/>
      <protection/>
    </xf>
    <xf numFmtId="0" fontId="30" fillId="2" borderId="0" xfId="58" applyFont="1" applyFill="1">
      <alignment/>
      <protection/>
    </xf>
    <xf numFmtId="0" fontId="30" fillId="2" borderId="0" xfId="58" applyFont="1" applyFill="1" applyAlignment="1">
      <alignment horizontal="right"/>
      <protection/>
    </xf>
    <xf numFmtId="164" fontId="30" fillId="2" borderId="0" xfId="58" applyNumberFormat="1" applyFont="1" applyFill="1">
      <alignment/>
      <protection/>
    </xf>
    <xf numFmtId="16" fontId="30" fillId="2" borderId="13" xfId="58" applyNumberFormat="1" applyFont="1" applyFill="1" applyBorder="1">
      <alignment/>
      <protection/>
    </xf>
    <xf numFmtId="0" fontId="30" fillId="2" borderId="14" xfId="58" applyFont="1" applyFill="1" applyBorder="1">
      <alignment/>
      <protection/>
    </xf>
    <xf numFmtId="0" fontId="30" fillId="2" borderId="15" xfId="58" applyFont="1" applyFill="1" applyBorder="1">
      <alignment/>
      <protection/>
    </xf>
    <xf numFmtId="0" fontId="36" fillId="2" borderId="16" xfId="58" applyFont="1" applyFill="1" applyBorder="1">
      <alignment/>
      <protection/>
    </xf>
    <xf numFmtId="0" fontId="36" fillId="2" borderId="17" xfId="58" applyFont="1" applyFill="1" applyBorder="1">
      <alignment/>
      <protection/>
    </xf>
    <xf numFmtId="0" fontId="32" fillId="2" borderId="18" xfId="58" applyFont="1" applyFill="1" applyBorder="1">
      <alignment/>
      <protection/>
    </xf>
    <xf numFmtId="0" fontId="31" fillId="2" borderId="11" xfId="58" applyFont="1" applyFill="1" applyBorder="1">
      <alignment/>
      <protection/>
    </xf>
    <xf numFmtId="2" fontId="31" fillId="2" borderId="11" xfId="58" applyNumberFormat="1" applyFont="1" applyFill="1" applyBorder="1">
      <alignment/>
      <protection/>
    </xf>
    <xf numFmtId="0" fontId="71" fillId="2" borderId="11" xfId="0" applyFont="1" applyFill="1" applyBorder="1" applyAlignment="1">
      <alignment/>
    </xf>
    <xf numFmtId="0" fontId="31" fillId="2" borderId="12" xfId="58" applyFont="1" applyFill="1" applyBorder="1">
      <alignment/>
      <protection/>
    </xf>
    <xf numFmtId="0" fontId="30" fillId="2" borderId="0" xfId="58" applyFont="1" applyFill="1" applyAlignment="1">
      <alignment horizontal="left"/>
      <protection/>
    </xf>
    <xf numFmtId="0" fontId="30" fillId="2" borderId="0" xfId="58" applyFont="1" applyFill="1" applyAlignment="1">
      <alignment horizontal="center"/>
      <protection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5" fillId="5" borderId="18" xfId="57" applyFont="1" applyFill="1" applyBorder="1">
      <alignment/>
      <protection/>
    </xf>
    <xf numFmtId="0" fontId="35" fillId="5" borderId="11" xfId="57" applyFont="1" applyFill="1" applyBorder="1">
      <alignment/>
      <protection/>
    </xf>
    <xf numFmtId="0" fontId="35" fillId="5" borderId="11" xfId="57" applyFont="1" applyFill="1" applyBorder="1" applyAlignment="1">
      <alignment horizontal="center"/>
      <protection/>
    </xf>
    <xf numFmtId="0" fontId="0" fillId="5" borderId="12" xfId="0" applyFill="1" applyBorder="1" applyAlignment="1">
      <alignment/>
    </xf>
    <xf numFmtId="0" fontId="36" fillId="5" borderId="13" xfId="57" applyFont="1" applyFill="1" applyBorder="1">
      <alignment/>
      <protection/>
    </xf>
    <xf numFmtId="0" fontId="36" fillId="5" borderId="0" xfId="57" applyFont="1" applyFill="1">
      <alignment/>
      <protection/>
    </xf>
    <xf numFmtId="0" fontId="36" fillId="5" borderId="0" xfId="57" applyFont="1" applyFill="1" applyAlignment="1">
      <alignment horizontal="center"/>
      <protection/>
    </xf>
    <xf numFmtId="0" fontId="0" fillId="5" borderId="14" xfId="0" applyFill="1" applyBorder="1" applyAlignment="1">
      <alignment/>
    </xf>
    <xf numFmtId="0" fontId="30" fillId="5" borderId="13" xfId="57" applyFont="1" applyFill="1" applyBorder="1">
      <alignment/>
      <protection/>
    </xf>
    <xf numFmtId="0" fontId="30" fillId="5" borderId="0" xfId="57" applyFont="1" applyFill="1">
      <alignment/>
      <protection/>
    </xf>
    <xf numFmtId="0" fontId="30" fillId="5" borderId="0" xfId="57" applyFont="1" applyFill="1" applyAlignment="1">
      <alignment horizontal="right"/>
      <protection/>
    </xf>
    <xf numFmtId="164" fontId="30" fillId="5" borderId="0" xfId="57" applyNumberFormat="1" applyFont="1" applyFill="1">
      <alignment/>
      <protection/>
    </xf>
    <xf numFmtId="16" fontId="30" fillId="5" borderId="13" xfId="57" applyNumberFormat="1" applyFont="1" applyFill="1" applyBorder="1">
      <alignment/>
      <protection/>
    </xf>
    <xf numFmtId="0" fontId="30" fillId="5" borderId="15" xfId="57" applyFont="1" applyFill="1" applyBorder="1">
      <alignment/>
      <protection/>
    </xf>
    <xf numFmtId="0" fontId="30" fillId="5" borderId="16" xfId="57" applyFont="1" applyFill="1" applyBorder="1">
      <alignment/>
      <protection/>
    </xf>
    <xf numFmtId="0" fontId="0" fillId="5" borderId="17" xfId="0" applyFill="1" applyBorder="1" applyAlignment="1">
      <alignment/>
    </xf>
    <xf numFmtId="0" fontId="32" fillId="5" borderId="18" xfId="57" applyFont="1" applyFill="1" applyBorder="1">
      <alignment/>
      <protection/>
    </xf>
    <xf numFmtId="0" fontId="31" fillId="5" borderId="11" xfId="57" applyFont="1" applyFill="1" applyBorder="1">
      <alignment/>
      <protection/>
    </xf>
    <xf numFmtId="0" fontId="31" fillId="5" borderId="11" xfId="57" applyFont="1" applyFill="1" applyBorder="1" applyAlignment="1">
      <alignment horizontal="center"/>
      <protection/>
    </xf>
    <xf numFmtId="0" fontId="71" fillId="5" borderId="11" xfId="0" applyFont="1" applyFill="1" applyBorder="1" applyAlignment="1">
      <alignment/>
    </xf>
    <xf numFmtId="0" fontId="71" fillId="5" borderId="12" xfId="0" applyFont="1" applyFill="1" applyBorder="1" applyAlignment="1">
      <alignment/>
    </xf>
    <xf numFmtId="0" fontId="30" fillId="5" borderId="0" xfId="57" applyFont="1" applyFill="1" applyAlignment="1">
      <alignment horizontal="left"/>
      <protection/>
    </xf>
    <xf numFmtId="2" fontId="30" fillId="5" borderId="0" xfId="57" applyNumberFormat="1" applyFont="1" applyFill="1">
      <alignment/>
      <protection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37" fillId="36" borderId="18" xfId="58" applyFont="1" applyFill="1" applyBorder="1">
      <alignment/>
      <protection/>
    </xf>
    <xf numFmtId="0" fontId="37" fillId="36" borderId="11" xfId="58" applyFont="1" applyFill="1" applyBorder="1">
      <alignment/>
      <protection/>
    </xf>
    <xf numFmtId="2" fontId="37" fillId="36" borderId="11" xfId="58" applyNumberFormat="1" applyFont="1" applyFill="1" applyBorder="1">
      <alignment/>
      <protection/>
    </xf>
    <xf numFmtId="0" fontId="37" fillId="36" borderId="11" xfId="58" applyFont="1" applyFill="1" applyBorder="1" applyAlignment="1">
      <alignment horizontal="center"/>
      <protection/>
    </xf>
    <xf numFmtId="164" fontId="37" fillId="36" borderId="11" xfId="58" applyNumberFormat="1" applyFont="1" applyFill="1" applyBorder="1">
      <alignment/>
      <protection/>
    </xf>
    <xf numFmtId="0" fontId="30" fillId="36" borderId="12" xfId="58" applyFont="1" applyFill="1" applyBorder="1">
      <alignment/>
      <protection/>
    </xf>
    <xf numFmtId="0" fontId="30" fillId="36" borderId="13" xfId="58" applyFont="1" applyFill="1" applyBorder="1">
      <alignment/>
      <protection/>
    </xf>
    <xf numFmtId="0" fontId="30" fillId="36" borderId="0" xfId="58" applyFont="1" applyFill="1">
      <alignment/>
      <protection/>
    </xf>
    <xf numFmtId="2" fontId="37" fillId="36" borderId="0" xfId="58" applyNumberFormat="1" applyFont="1" applyFill="1">
      <alignment/>
      <protection/>
    </xf>
    <xf numFmtId="0" fontId="30" fillId="36" borderId="0" xfId="58" applyFont="1" applyFill="1" applyAlignment="1">
      <alignment horizontal="center"/>
      <protection/>
    </xf>
    <xf numFmtId="164" fontId="38" fillId="36" borderId="0" xfId="58" applyNumberFormat="1" applyFont="1" applyFill="1">
      <alignment/>
      <protection/>
    </xf>
    <xf numFmtId="164" fontId="37" fillId="36" borderId="14" xfId="58" applyNumberFormat="1" applyFont="1" applyFill="1" applyBorder="1">
      <alignment/>
      <protection/>
    </xf>
    <xf numFmtId="0" fontId="0" fillId="36" borderId="13" xfId="0" applyFill="1" applyBorder="1" applyAlignment="1">
      <alignment/>
    </xf>
    <xf numFmtId="0" fontId="0" fillId="36" borderId="0" xfId="0" applyFill="1" applyAlignment="1">
      <alignment/>
    </xf>
    <xf numFmtId="0" fontId="37" fillId="36" borderId="0" xfId="58" applyFont="1" applyFill="1">
      <alignment/>
      <protection/>
    </xf>
    <xf numFmtId="2" fontId="30" fillId="36" borderId="0" xfId="58" applyNumberFormat="1" applyFont="1" applyFill="1">
      <alignment/>
      <protection/>
    </xf>
    <xf numFmtId="164" fontId="79" fillId="36" borderId="0" xfId="58" applyNumberFormat="1" applyFont="1" applyFill="1">
      <alignment/>
      <protection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37" fillId="11" borderId="18" xfId="57" applyFont="1" applyFill="1" applyBorder="1">
      <alignment/>
      <protection/>
    </xf>
    <xf numFmtId="0" fontId="37" fillId="11" borderId="11" xfId="57" applyFont="1" applyFill="1" applyBorder="1">
      <alignment/>
      <protection/>
    </xf>
    <xf numFmtId="2" fontId="37" fillId="11" borderId="11" xfId="57" applyNumberFormat="1" applyFont="1" applyFill="1" applyBorder="1">
      <alignment/>
      <protection/>
    </xf>
    <xf numFmtId="0" fontId="30" fillId="11" borderId="11" xfId="57" applyFont="1" applyFill="1" applyBorder="1">
      <alignment/>
      <protection/>
    </xf>
    <xf numFmtId="0" fontId="37" fillId="11" borderId="11" xfId="57" applyFont="1" applyFill="1" applyBorder="1" applyAlignment="1">
      <alignment horizontal="center"/>
      <protection/>
    </xf>
    <xf numFmtId="164" fontId="37" fillId="11" borderId="11" xfId="57" applyNumberFormat="1" applyFont="1" applyFill="1" applyBorder="1">
      <alignment/>
      <protection/>
    </xf>
    <xf numFmtId="0" fontId="30" fillId="11" borderId="13" xfId="57" applyFont="1" applyFill="1" applyBorder="1">
      <alignment/>
      <protection/>
    </xf>
    <xf numFmtId="0" fontId="30" fillId="11" borderId="0" xfId="57" applyFont="1" applyFill="1">
      <alignment/>
      <protection/>
    </xf>
    <xf numFmtId="2" fontId="37" fillId="11" borderId="0" xfId="57" applyNumberFormat="1" applyFont="1" applyFill="1">
      <alignment/>
      <protection/>
    </xf>
    <xf numFmtId="164" fontId="38" fillId="11" borderId="0" xfId="57" applyNumberFormat="1" applyFont="1" applyFill="1">
      <alignment/>
      <protection/>
    </xf>
    <xf numFmtId="2" fontId="30" fillId="11" borderId="0" xfId="57" applyNumberFormat="1" applyFont="1" applyFill="1">
      <alignment/>
      <protection/>
    </xf>
    <xf numFmtId="0" fontId="35" fillId="11" borderId="0" xfId="57" applyFont="1" applyFill="1">
      <alignment/>
      <protection/>
    </xf>
    <xf numFmtId="0" fontId="37" fillId="11" borderId="0" xfId="57" applyFont="1" applyFill="1">
      <alignment/>
      <protection/>
    </xf>
    <xf numFmtId="164" fontId="79" fillId="11" borderId="0" xfId="58" applyNumberFormat="1" applyFont="1" applyFill="1">
      <alignment/>
      <protection/>
    </xf>
    <xf numFmtId="168" fontId="30" fillId="11" borderId="0" xfId="57" applyNumberFormat="1" applyFont="1" applyFill="1">
      <alignment/>
      <protection/>
    </xf>
    <xf numFmtId="0" fontId="0" fillId="11" borderId="13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6" xfId="0" applyFill="1" applyBorder="1" applyAlignment="1">
      <alignment/>
    </xf>
    <xf numFmtId="0" fontId="31" fillId="37" borderId="10" xfId="58" applyFont="1" applyFill="1" applyBorder="1">
      <alignment/>
      <protection/>
    </xf>
    <xf numFmtId="0" fontId="80" fillId="36" borderId="18" xfId="58" applyFont="1" applyFill="1" applyBorder="1" applyAlignment="1">
      <alignment horizontal="left" vertical="center"/>
      <protection/>
    </xf>
    <xf numFmtId="0" fontId="81" fillId="11" borderId="18" xfId="57" applyFont="1" applyFill="1" applyBorder="1" applyAlignment="1">
      <alignment horizontal="left" vertical="center"/>
      <protection/>
    </xf>
    <xf numFmtId="2" fontId="31" fillId="33" borderId="10" xfId="58" applyNumberFormat="1" applyFont="1" applyFill="1" applyBorder="1" applyProtection="1">
      <alignment/>
      <protection locked="0"/>
    </xf>
    <xf numFmtId="0" fontId="0" fillId="38" borderId="0" xfId="0" applyFill="1" applyAlignment="1">
      <alignment horizontal="center"/>
    </xf>
    <xf numFmtId="164" fontId="72" fillId="38" borderId="0" xfId="0" applyNumberFormat="1" applyFont="1" applyFill="1" applyAlignment="1">
      <alignment horizontal="center"/>
    </xf>
    <xf numFmtId="164" fontId="0" fillId="36" borderId="19" xfId="0" applyNumberFormat="1" applyFill="1" applyBorder="1" applyAlignment="1">
      <alignment horizontal="center"/>
    </xf>
    <xf numFmtId="164" fontId="0" fillId="36" borderId="20" xfId="0" applyNumberForma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73" fillId="33" borderId="0" xfId="0" applyFont="1" applyFill="1" applyAlignment="1">
      <alignment vertical="center"/>
    </xf>
    <xf numFmtId="0" fontId="58" fillId="39" borderId="21" xfId="0" applyFont="1" applyFill="1" applyBorder="1" applyAlignment="1">
      <alignment horizontal="center"/>
    </xf>
    <xf numFmtId="0" fontId="58" fillId="39" borderId="22" xfId="0" applyFont="1" applyFill="1" applyBorder="1" applyAlignment="1">
      <alignment horizontal="center"/>
    </xf>
    <xf numFmtId="0" fontId="58" fillId="39" borderId="23" xfId="0" applyFont="1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164" fontId="72" fillId="38" borderId="24" xfId="0" applyNumberFormat="1" applyFont="1" applyFill="1" applyBorder="1" applyAlignment="1">
      <alignment horizontal="center"/>
    </xf>
    <xf numFmtId="164" fontId="0" fillId="36" borderId="26" xfId="0" applyNumberFormat="1" applyFill="1" applyBorder="1" applyAlignment="1">
      <alignment horizontal="center"/>
    </xf>
    <xf numFmtId="164" fontId="0" fillId="36" borderId="27" xfId="0" applyNumberFormat="1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164" fontId="0" fillId="36" borderId="30" xfId="0" applyNumberFormat="1" applyFill="1" applyBorder="1" applyAlignment="1">
      <alignment horizontal="center"/>
    </xf>
    <xf numFmtId="164" fontId="0" fillId="36" borderId="31" xfId="0" applyNumberFormat="1" applyFill="1" applyBorder="1" applyAlignment="1">
      <alignment horizontal="center"/>
    </xf>
    <xf numFmtId="164" fontId="0" fillId="36" borderId="32" xfId="0" applyNumberFormat="1" applyFill="1" applyBorder="1" applyAlignment="1">
      <alignment horizontal="center"/>
    </xf>
    <xf numFmtId="0" fontId="71" fillId="0" borderId="24" xfId="0" applyFont="1" applyBorder="1" applyAlignment="1">
      <alignment horizontal="right"/>
    </xf>
    <xf numFmtId="164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"/>
    </xf>
    <xf numFmtId="0" fontId="71" fillId="0" borderId="0" xfId="0" applyFont="1" applyAlignment="1" quotePrefix="1">
      <alignment horizontal="center"/>
    </xf>
    <xf numFmtId="0" fontId="71" fillId="0" borderId="33" xfId="0" applyFont="1" applyBorder="1" applyAlignment="1">
      <alignment horizontal="right"/>
    </xf>
    <xf numFmtId="164" fontId="0" fillId="0" borderId="34" xfId="0" applyNumberFormat="1" applyBorder="1" applyAlignment="1" quotePrefix="1">
      <alignment horizontal="center"/>
    </xf>
    <xf numFmtId="164" fontId="0" fillId="0" borderId="34" xfId="0" applyNumberFormat="1" applyBorder="1" applyAlignment="1">
      <alignment horizontal="center"/>
    </xf>
    <xf numFmtId="0" fontId="71" fillId="0" borderId="34" xfId="0" applyFont="1" applyBorder="1" applyAlignment="1" quotePrefix="1">
      <alignment horizontal="center"/>
    </xf>
    <xf numFmtId="164" fontId="82" fillId="0" borderId="35" xfId="0" applyNumberFormat="1" applyFont="1" applyBorder="1" applyAlignment="1">
      <alignment horizontal="center"/>
    </xf>
    <xf numFmtId="0" fontId="55" fillId="39" borderId="21" xfId="0" applyFont="1" applyFill="1" applyBorder="1" applyAlignment="1">
      <alignment/>
    </xf>
    <xf numFmtId="0" fontId="58" fillId="39" borderId="22" xfId="0" applyFont="1" applyFill="1" applyBorder="1" applyAlignment="1">
      <alignment/>
    </xf>
    <xf numFmtId="0" fontId="58" fillId="39" borderId="22" xfId="0" applyFont="1" applyFill="1" applyBorder="1" applyAlignment="1" quotePrefix="1">
      <alignment horizontal="left"/>
    </xf>
    <xf numFmtId="0" fontId="55" fillId="39" borderId="22" xfId="0" applyFont="1" applyFill="1" applyBorder="1" applyAlignment="1">
      <alignment/>
    </xf>
    <xf numFmtId="0" fontId="58" fillId="39" borderId="36" xfId="0" applyFont="1" applyFill="1" applyBorder="1" applyAlignment="1">
      <alignment horizontal="center"/>
    </xf>
    <xf numFmtId="0" fontId="58" fillId="39" borderId="37" xfId="0" applyFont="1" applyFill="1" applyBorder="1" applyAlignment="1">
      <alignment horizontal="center"/>
    </xf>
    <xf numFmtId="164" fontId="71" fillId="0" borderId="33" xfId="0" applyNumberFormat="1" applyFont="1" applyBorder="1" applyAlignment="1">
      <alignment horizontal="center" vertical="center"/>
    </xf>
    <xf numFmtId="164" fontId="71" fillId="0" borderId="38" xfId="0" applyNumberFormat="1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71" fillId="0" borderId="39" xfId="0" applyFont="1" applyBorder="1" applyAlignment="1">
      <alignment horizontal="left"/>
    </xf>
    <xf numFmtId="164" fontId="0" fillId="36" borderId="40" xfId="0" applyNumberFormat="1" applyFill="1" applyBorder="1" applyAlignment="1">
      <alignment/>
    </xf>
    <xf numFmtId="0" fontId="0" fillId="0" borderId="33" xfId="0" applyBorder="1" applyAlignment="1">
      <alignment wrapText="1"/>
    </xf>
    <xf numFmtId="0" fontId="71" fillId="0" borderId="34" xfId="0" applyFont="1" applyBorder="1" applyAlignment="1">
      <alignment horizontal="left"/>
    </xf>
    <xf numFmtId="164" fontId="0" fillId="36" borderId="32" xfId="0" applyNumberFormat="1" applyFill="1" applyBorder="1" applyAlignment="1">
      <alignment/>
    </xf>
    <xf numFmtId="164" fontId="71" fillId="0" borderId="29" xfId="0" applyNumberFormat="1" applyFont="1" applyBorder="1" applyAlignment="1">
      <alignment horizontal="center"/>
    </xf>
    <xf numFmtId="164" fontId="71" fillId="0" borderId="25" xfId="0" applyNumberFormat="1" applyFont="1" applyBorder="1" applyAlignment="1">
      <alignment horizontal="center"/>
    </xf>
    <xf numFmtId="164" fontId="71" fillId="0" borderId="41" xfId="0" applyNumberFormat="1" applyFont="1" applyBorder="1" applyAlignment="1">
      <alignment horizontal="center"/>
    </xf>
    <xf numFmtId="0" fontId="55" fillId="39" borderId="42" xfId="0" applyFont="1" applyFill="1" applyBorder="1" applyAlignment="1">
      <alignment horizontal="center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83" fillId="33" borderId="0" xfId="0" applyFont="1" applyFill="1" applyAlignment="1">
      <alignment horizontal="left" indent="1"/>
    </xf>
    <xf numFmtId="0" fontId="71" fillId="33" borderId="0" xfId="0" applyFont="1" applyFill="1" applyAlignment="1">
      <alignment horizontal="right" indent="1"/>
    </xf>
    <xf numFmtId="0" fontId="84" fillId="33" borderId="0" xfId="0" applyFont="1" applyFill="1" applyAlignment="1">
      <alignment horizontal="right" indent="1"/>
    </xf>
    <xf numFmtId="0" fontId="71" fillId="33" borderId="0" xfId="0" applyFont="1" applyFill="1" applyAlignment="1">
      <alignment/>
    </xf>
    <xf numFmtId="164" fontId="58" fillId="33" borderId="0" xfId="0" applyNumberFormat="1" applyFont="1" applyFill="1" applyAlignment="1">
      <alignment horizontal="left"/>
    </xf>
    <xf numFmtId="0" fontId="73" fillId="33" borderId="0" xfId="0" applyFont="1" applyFill="1" applyAlignment="1">
      <alignment vertical="center"/>
    </xf>
    <xf numFmtId="0" fontId="73" fillId="35" borderId="0" xfId="0" applyFont="1" applyFill="1" applyAlignment="1">
      <alignment horizontal="left" vertical="center"/>
    </xf>
    <xf numFmtId="0" fontId="85" fillId="33" borderId="0" xfId="0" applyFont="1" applyFill="1" applyAlignment="1">
      <alignment vertical="top"/>
    </xf>
    <xf numFmtId="0" fontId="73" fillId="35" borderId="0" xfId="0" applyFont="1" applyFill="1" applyAlignment="1" applyProtection="1">
      <alignment horizontal="left" vertical="center"/>
      <protection locked="0"/>
    </xf>
    <xf numFmtId="0" fontId="74" fillId="33" borderId="0" xfId="0" applyFont="1" applyFill="1" applyAlignment="1">
      <alignment vertical="center"/>
    </xf>
    <xf numFmtId="0" fontId="86" fillId="39" borderId="0" xfId="0" applyFont="1" applyFill="1" applyAlignment="1">
      <alignment/>
    </xf>
    <xf numFmtId="0" fontId="86" fillId="39" borderId="0" xfId="0" applyFont="1" applyFill="1" applyAlignment="1">
      <alignment vertical="center"/>
    </xf>
    <xf numFmtId="0" fontId="73" fillId="39" borderId="0" xfId="0" applyFont="1" applyFill="1" applyAlignment="1">
      <alignment/>
    </xf>
    <xf numFmtId="0" fontId="73" fillId="39" borderId="0" xfId="0" applyFont="1" applyFill="1" applyAlignment="1">
      <alignment vertical="center"/>
    </xf>
    <xf numFmtId="0" fontId="87" fillId="33" borderId="0" xfId="0" applyFont="1" applyFill="1" applyAlignment="1">
      <alignment horizontal="right" vertical="center" indent="1"/>
    </xf>
    <xf numFmtId="0" fontId="73" fillId="35" borderId="10" xfId="0" applyFont="1" applyFill="1" applyBorder="1" applyAlignment="1" applyProtection="1">
      <alignment horizontal="center" vertical="top" wrapText="1"/>
      <protection locked="0"/>
    </xf>
    <xf numFmtId="0" fontId="0" fillId="33" borderId="0" xfId="0" applyFill="1" applyAlignment="1">
      <alignment horizontal="center"/>
    </xf>
    <xf numFmtId="0" fontId="71" fillId="33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 vertical="top"/>
    </xf>
    <xf numFmtId="0" fontId="0" fillId="33" borderId="38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164" fontId="0" fillId="33" borderId="45" xfId="0" applyNumberFormat="1" applyFill="1" applyBorder="1" applyAlignment="1">
      <alignment horizontal="center"/>
    </xf>
    <xf numFmtId="164" fontId="0" fillId="33" borderId="46" xfId="0" applyNumberFormat="1" applyFill="1" applyBorder="1" applyAlignment="1">
      <alignment horizontal="center"/>
    </xf>
    <xf numFmtId="0" fontId="71" fillId="4" borderId="47" xfId="0" applyFont="1" applyFill="1" applyBorder="1" applyAlignment="1">
      <alignment horizontal="center"/>
    </xf>
    <xf numFmtId="0" fontId="71" fillId="4" borderId="48" xfId="0" applyFont="1" applyFill="1" applyBorder="1" applyAlignment="1">
      <alignment horizontal="center"/>
    </xf>
    <xf numFmtId="0" fontId="71" fillId="10" borderId="35" xfId="0" applyFont="1" applyFill="1" applyBorder="1" applyAlignment="1">
      <alignment horizontal="center"/>
    </xf>
    <xf numFmtId="0" fontId="2" fillId="40" borderId="10" xfId="57" applyFill="1" applyBorder="1" applyAlignment="1">
      <alignment vertical="center"/>
      <protection/>
    </xf>
    <xf numFmtId="164" fontId="7" fillId="41" borderId="10" xfId="57" applyNumberFormat="1" applyFont="1" applyFill="1" applyBorder="1" applyAlignment="1">
      <alignment horizontal="center" vertical="center"/>
      <protection/>
    </xf>
    <xf numFmtId="0" fontId="2" fillId="40" borderId="10" xfId="57" applyFill="1" applyBorder="1" applyAlignment="1">
      <alignment vertical="center"/>
      <protection/>
    </xf>
    <xf numFmtId="0" fontId="6" fillId="33" borderId="0" xfId="0" applyFont="1" applyFill="1" applyAlignment="1">
      <alignment horizontal="left" wrapText="1"/>
    </xf>
    <xf numFmtId="0" fontId="71" fillId="33" borderId="0" xfId="0" applyFont="1" applyFill="1" applyAlignment="1">
      <alignment/>
    </xf>
    <xf numFmtId="0" fontId="71" fillId="33" borderId="0" xfId="0" applyFont="1" applyFill="1" applyAlignment="1" applyProtection="1">
      <alignment horizontal="left" indent="1"/>
      <protection locked="0"/>
    </xf>
    <xf numFmtId="0" fontId="58" fillId="33" borderId="0" xfId="0" applyFont="1" applyFill="1" applyAlignment="1">
      <alignment horizontal="right" indent="1"/>
    </xf>
    <xf numFmtId="0" fontId="71" fillId="9" borderId="49" xfId="0" applyFont="1" applyFill="1" applyBorder="1" applyAlignment="1">
      <alignment vertical="top" wrapText="1"/>
    </xf>
    <xf numFmtId="0" fontId="71" fillId="9" borderId="50" xfId="0" applyFont="1" applyFill="1" applyBorder="1" applyAlignment="1">
      <alignment vertical="top" wrapText="1"/>
    </xf>
    <xf numFmtId="0" fontId="71" fillId="9" borderId="51" xfId="0" applyFont="1" applyFill="1" applyBorder="1" applyAlignment="1">
      <alignment vertical="top" wrapText="1"/>
    </xf>
    <xf numFmtId="0" fontId="71" fillId="10" borderId="49" xfId="0" applyFont="1" applyFill="1" applyBorder="1" applyAlignment="1">
      <alignment vertical="top" wrapText="1"/>
    </xf>
    <xf numFmtId="0" fontId="71" fillId="10" borderId="50" xfId="0" applyFont="1" applyFill="1" applyBorder="1" applyAlignment="1">
      <alignment vertical="top" wrapText="1"/>
    </xf>
    <xf numFmtId="0" fontId="71" fillId="10" borderId="51" xfId="0" applyFont="1" applyFill="1" applyBorder="1" applyAlignment="1">
      <alignment vertical="top" wrapText="1"/>
    </xf>
    <xf numFmtId="0" fontId="58" fillId="42" borderId="35" xfId="0" applyFont="1" applyFill="1" applyBorder="1" applyAlignment="1">
      <alignment horizontal="center"/>
    </xf>
    <xf numFmtId="0" fontId="58" fillId="43" borderId="35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58" fillId="44" borderId="35" xfId="0" applyFont="1" applyFill="1" applyBorder="1" applyAlignment="1">
      <alignment/>
    </xf>
    <xf numFmtId="0" fontId="71" fillId="10" borderId="49" xfId="0" applyFont="1" applyFill="1" applyBorder="1" applyAlignment="1">
      <alignment/>
    </xf>
    <xf numFmtId="0" fontId="71" fillId="10" borderId="51" xfId="0" applyFont="1" applyFill="1" applyBorder="1" applyAlignment="1">
      <alignment/>
    </xf>
    <xf numFmtId="0" fontId="2" fillId="33" borderId="0" xfId="57" applyFill="1" applyAlignment="1">
      <alignment vertical="center"/>
      <protection/>
    </xf>
    <xf numFmtId="164" fontId="7" fillId="33" borderId="0" xfId="57" applyNumberFormat="1" applyFont="1" applyFill="1" applyAlignment="1">
      <alignment horizontal="center" vertical="center"/>
      <protection/>
    </xf>
    <xf numFmtId="164" fontId="0" fillId="33" borderId="52" xfId="0" applyNumberFormat="1" applyFill="1" applyBorder="1" applyAlignment="1">
      <alignment horizontal="center" vertical="center"/>
    </xf>
    <xf numFmtId="164" fontId="0" fillId="33" borderId="20" xfId="0" applyNumberFormat="1" applyFill="1" applyBorder="1" applyAlignment="1">
      <alignment horizontal="center" vertical="center"/>
    </xf>
    <xf numFmtId="164" fontId="0" fillId="33" borderId="53" xfId="0" applyNumberFormat="1" applyFill="1" applyBorder="1" applyAlignment="1">
      <alignment horizontal="center" vertical="center"/>
    </xf>
    <xf numFmtId="164" fontId="0" fillId="33" borderId="43" xfId="0" applyNumberFormat="1" applyFill="1" applyBorder="1" applyAlignment="1">
      <alignment horizontal="center" vertical="center"/>
    </xf>
    <xf numFmtId="164" fontId="0" fillId="33" borderId="54" xfId="0" applyNumberFormat="1" applyFill="1" applyBorder="1" applyAlignment="1">
      <alignment horizontal="center" vertical="center"/>
    </xf>
    <xf numFmtId="164" fontId="0" fillId="33" borderId="45" xfId="0" applyNumberFormat="1" applyFill="1" applyBorder="1" applyAlignment="1">
      <alignment horizontal="center" vertical="center"/>
    </xf>
    <xf numFmtId="164" fontId="0" fillId="33" borderId="51" xfId="0" applyNumberFormat="1" applyFill="1" applyBorder="1" applyAlignment="1">
      <alignment horizontal="center" vertical="top"/>
    </xf>
    <xf numFmtId="164" fontId="0" fillId="33" borderId="51" xfId="0" applyNumberFormat="1" applyFill="1" applyBorder="1" applyAlignment="1">
      <alignment horizontal="center"/>
    </xf>
    <xf numFmtId="0" fontId="71" fillId="45" borderId="49" xfId="0" applyFont="1" applyFill="1" applyBorder="1" applyAlignment="1">
      <alignment horizontal="center"/>
    </xf>
    <xf numFmtId="0" fontId="58" fillId="46" borderId="35" xfId="0" applyFont="1" applyFill="1" applyBorder="1" applyAlignment="1">
      <alignment vertical="center"/>
    </xf>
    <xf numFmtId="164" fontId="71" fillId="11" borderId="55" xfId="0" applyNumberFormat="1" applyFont="1" applyFill="1" applyBorder="1" applyAlignment="1">
      <alignment horizontal="center" vertical="center"/>
    </xf>
    <xf numFmtId="164" fontId="88" fillId="46" borderId="35" xfId="0" applyNumberFormat="1" applyFont="1" applyFill="1" applyBorder="1" applyAlignment="1">
      <alignment horizontal="center" vertical="center"/>
    </xf>
    <xf numFmtId="0" fontId="82" fillId="33" borderId="0" xfId="0" applyFont="1" applyFill="1" applyAlignment="1">
      <alignment horizontal="left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58" fillId="44" borderId="56" xfId="0" applyFont="1" applyFill="1" applyBorder="1" applyAlignment="1">
      <alignment/>
    </xf>
    <xf numFmtId="164" fontId="71" fillId="38" borderId="44" xfId="0" applyNumberFormat="1" applyFont="1" applyFill="1" applyBorder="1" applyAlignment="1">
      <alignment horizontal="center"/>
    </xf>
    <xf numFmtId="164" fontId="71" fillId="38" borderId="52" xfId="0" applyNumberFormat="1" applyFont="1" applyFill="1" applyBorder="1" applyAlignment="1">
      <alignment horizontal="center"/>
    </xf>
    <xf numFmtId="0" fontId="58" fillId="44" borderId="49" xfId="0" applyFont="1" applyFill="1" applyBorder="1" applyAlignment="1">
      <alignment/>
    </xf>
    <xf numFmtId="0" fontId="58" fillId="44" borderId="57" xfId="0" applyFont="1" applyFill="1" applyBorder="1" applyAlignment="1">
      <alignment/>
    </xf>
    <xf numFmtId="164" fontId="71" fillId="38" borderId="12" xfId="0" applyNumberFormat="1" applyFont="1" applyFill="1" applyBorder="1" applyAlignment="1">
      <alignment horizontal="center"/>
    </xf>
    <xf numFmtId="164" fontId="71" fillId="38" borderId="58" xfId="0" applyNumberFormat="1" applyFont="1" applyFill="1" applyBorder="1" applyAlignment="1">
      <alignment horizontal="center"/>
    </xf>
    <xf numFmtId="0" fontId="58" fillId="39" borderId="35" xfId="0" applyFont="1" applyFill="1" applyBorder="1" applyAlignment="1">
      <alignment/>
    </xf>
    <xf numFmtId="164" fontId="71" fillId="36" borderId="55" xfId="0" applyNumberFormat="1" applyFont="1" applyFill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0" fontId="71" fillId="45" borderId="21" xfId="0" applyFont="1" applyFill="1" applyBorder="1" applyAlignment="1">
      <alignment horizontal="center"/>
    </xf>
    <xf numFmtId="0" fontId="71" fillId="47" borderId="42" xfId="0" applyFont="1" applyFill="1" applyBorder="1" applyAlignment="1">
      <alignment horizontal="center"/>
    </xf>
    <xf numFmtId="0" fontId="71" fillId="47" borderId="59" xfId="0" applyFont="1" applyFill="1" applyBorder="1" applyAlignment="1">
      <alignment horizontal="center"/>
    </xf>
    <xf numFmtId="0" fontId="71" fillId="9" borderId="21" xfId="0" applyFont="1" applyFill="1" applyBorder="1" applyAlignment="1">
      <alignment vertical="top" wrapText="1"/>
    </xf>
    <xf numFmtId="0" fontId="71" fillId="9" borderId="26" xfId="0" applyFont="1" applyFill="1" applyBorder="1" applyAlignment="1">
      <alignment vertical="top" wrapText="1"/>
    </xf>
    <xf numFmtId="0" fontId="71" fillId="9" borderId="30" xfId="0" applyFont="1" applyFill="1" applyBorder="1" applyAlignment="1">
      <alignment vertical="top" wrapText="1"/>
    </xf>
    <xf numFmtId="0" fontId="71" fillId="10" borderId="21" xfId="0" applyFont="1" applyFill="1" applyBorder="1" applyAlignment="1">
      <alignment vertical="top" wrapText="1"/>
    </xf>
    <xf numFmtId="0" fontId="71" fillId="10" borderId="26" xfId="0" applyFont="1" applyFill="1" applyBorder="1" applyAlignment="1">
      <alignment vertical="top" wrapText="1"/>
    </xf>
    <xf numFmtId="0" fontId="71" fillId="10" borderId="30" xfId="0" applyFont="1" applyFill="1" applyBorder="1" applyAlignment="1">
      <alignment vertical="top" wrapText="1"/>
    </xf>
    <xf numFmtId="164" fontId="71" fillId="38" borderId="14" xfId="0" applyNumberFormat="1" applyFont="1" applyFill="1" applyBorder="1" applyAlignment="1">
      <alignment horizontal="center"/>
    </xf>
    <xf numFmtId="0" fontId="0" fillId="33" borderId="60" xfId="0" applyFill="1" applyBorder="1" applyAlignment="1" applyProtection="1">
      <alignment horizontal="center" vertical="center"/>
      <protection locked="0"/>
    </xf>
    <xf numFmtId="0" fontId="0" fillId="33" borderId="61" xfId="0" applyFill="1" applyBorder="1" applyAlignment="1" applyProtection="1">
      <alignment horizontal="center" vertical="center"/>
      <protection locked="0"/>
    </xf>
    <xf numFmtId="0" fontId="0" fillId="33" borderId="62" xfId="0" applyFill="1" applyBorder="1" applyAlignment="1" applyProtection="1">
      <alignment horizontal="center" vertical="center"/>
      <protection locked="0"/>
    </xf>
    <xf numFmtId="0" fontId="0" fillId="33" borderId="63" xfId="0" applyFill="1" applyBorder="1" applyAlignment="1" applyProtection="1">
      <alignment horizontal="center" vertical="center"/>
      <protection locked="0"/>
    </xf>
    <xf numFmtId="0" fontId="0" fillId="33" borderId="64" xfId="0" applyFill="1" applyBorder="1" applyAlignment="1" applyProtection="1">
      <alignment horizontal="center" vertical="center"/>
      <protection locked="0"/>
    </xf>
    <xf numFmtId="0" fontId="0" fillId="33" borderId="65" xfId="0" applyFill="1" applyBorder="1" applyAlignment="1" applyProtection="1">
      <alignment horizontal="center" vertical="center"/>
      <protection locked="0"/>
    </xf>
    <xf numFmtId="0" fontId="0" fillId="33" borderId="66" xfId="0" applyFill="1" applyBorder="1" applyAlignment="1" applyProtection="1">
      <alignment horizontal="center" vertical="center"/>
      <protection locked="0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33" borderId="68" xfId="0" applyFill="1" applyBorder="1" applyAlignment="1" applyProtection="1">
      <alignment horizontal="center" vertical="center"/>
      <protection locked="0"/>
    </xf>
    <xf numFmtId="0" fontId="0" fillId="33" borderId="69" xfId="0" applyFill="1" applyBorder="1" applyAlignment="1" applyProtection="1">
      <alignment horizontal="center" vertical="center"/>
      <protection locked="0"/>
    </xf>
    <xf numFmtId="0" fontId="0" fillId="33" borderId="70" xfId="0" applyFill="1" applyBorder="1" applyAlignment="1" applyProtection="1">
      <alignment horizontal="center" vertical="center"/>
      <protection locked="0"/>
    </xf>
    <xf numFmtId="0" fontId="0" fillId="33" borderId="71" xfId="0" applyFill="1" applyBorder="1" applyAlignment="1" applyProtection="1">
      <alignment horizontal="center" vertical="center"/>
      <protection locked="0"/>
    </xf>
    <xf numFmtId="10" fontId="71" fillId="33" borderId="72" xfId="0" applyNumberFormat="1" applyFont="1" applyFill="1" applyBorder="1" applyAlignment="1">
      <alignment horizontal="left"/>
    </xf>
    <xf numFmtId="10" fontId="71" fillId="33" borderId="73" xfId="0" applyNumberFormat="1" applyFont="1" applyFill="1" applyBorder="1" applyAlignment="1">
      <alignment horizontal="left"/>
    </xf>
    <xf numFmtId="9" fontId="71" fillId="33" borderId="73" xfId="0" applyNumberFormat="1" applyFont="1" applyFill="1" applyBorder="1" applyAlignment="1">
      <alignment horizontal="left"/>
    </xf>
    <xf numFmtId="10" fontId="71" fillId="33" borderId="74" xfId="0" applyNumberFormat="1" applyFont="1" applyFill="1" applyBorder="1" applyAlignment="1">
      <alignment horizontal="left"/>
    </xf>
    <xf numFmtId="164" fontId="71" fillId="36" borderId="75" xfId="0" applyNumberFormat="1" applyFont="1" applyFill="1" applyBorder="1" applyAlignment="1">
      <alignment horizontal="center"/>
    </xf>
    <xf numFmtId="164" fontId="71" fillId="36" borderId="35" xfId="0" applyNumberFormat="1" applyFont="1" applyFill="1" applyBorder="1" applyAlignment="1">
      <alignment horizontal="center"/>
    </xf>
    <xf numFmtId="0" fontId="73" fillId="33" borderId="0" xfId="0" applyFont="1" applyFill="1" applyAlignment="1">
      <alignment/>
    </xf>
    <xf numFmtId="0" fontId="73" fillId="33" borderId="0" xfId="0" applyFont="1" applyFill="1" applyAlignment="1">
      <alignment horizontal="left" vertical="center"/>
    </xf>
    <xf numFmtId="0" fontId="73" fillId="39" borderId="0" xfId="0" applyFont="1" applyFill="1" applyAlignment="1">
      <alignment/>
    </xf>
    <xf numFmtId="164" fontId="73" fillId="35" borderId="10" xfId="0" applyNumberFormat="1" applyFont="1" applyFill="1" applyBorder="1" applyAlignment="1" applyProtection="1">
      <alignment vertical="center"/>
      <protection locked="0"/>
    </xf>
    <xf numFmtId="0" fontId="73" fillId="33" borderId="0" xfId="0" applyFont="1" applyFill="1" applyAlignment="1">
      <alignment vertical="top" wrapText="1"/>
    </xf>
    <xf numFmtId="0" fontId="89" fillId="33" borderId="0" xfId="0" applyFont="1" applyFill="1" applyAlignment="1">
      <alignment vertical="center"/>
    </xf>
    <xf numFmtId="0" fontId="31" fillId="33" borderId="16" xfId="58" applyFont="1" applyFill="1" applyBorder="1" applyProtection="1">
      <alignment/>
      <protection locked="0"/>
    </xf>
    <xf numFmtId="17" fontId="90" fillId="33" borderId="0" xfId="0" applyNumberFormat="1" applyFont="1" applyFill="1" applyAlignment="1">
      <alignment/>
    </xf>
    <xf numFmtId="0" fontId="85" fillId="33" borderId="0" xfId="0" applyFont="1" applyFill="1" applyAlignment="1">
      <alignment horizontal="left" vertical="top" wrapText="1"/>
    </xf>
    <xf numFmtId="0" fontId="91" fillId="35" borderId="76" xfId="0" applyFont="1" applyFill="1" applyBorder="1" applyAlignment="1" applyProtection="1">
      <alignment horizontal="left" vertical="center"/>
      <protection locked="0"/>
    </xf>
    <xf numFmtId="0" fontId="91" fillId="35" borderId="20" xfId="0" applyFont="1" applyFill="1" applyBorder="1" applyAlignment="1" applyProtection="1">
      <alignment horizontal="left" vertical="center"/>
      <protection locked="0"/>
    </xf>
    <xf numFmtId="0" fontId="73" fillId="35" borderId="76" xfId="0" applyFont="1" applyFill="1" applyBorder="1" applyAlignment="1" applyProtection="1">
      <alignment horizontal="center" vertical="center"/>
      <protection locked="0"/>
    </xf>
    <xf numFmtId="0" fontId="73" fillId="35" borderId="20" xfId="0" applyFont="1" applyFill="1" applyBorder="1" applyAlignment="1" applyProtection="1">
      <alignment horizontal="center" vertical="center"/>
      <protection locked="0"/>
    </xf>
    <xf numFmtId="0" fontId="73" fillId="35" borderId="76" xfId="0" applyFont="1" applyFill="1" applyBorder="1" applyAlignment="1" applyProtection="1">
      <alignment horizontal="left" vertical="center"/>
      <protection locked="0"/>
    </xf>
    <xf numFmtId="0" fontId="73" fillId="35" borderId="19" xfId="0" applyFont="1" applyFill="1" applyBorder="1" applyAlignment="1" applyProtection="1">
      <alignment horizontal="left" vertical="center"/>
      <protection locked="0"/>
    </xf>
    <xf numFmtId="0" fontId="73" fillId="35" borderId="20" xfId="0" applyFont="1" applyFill="1" applyBorder="1" applyAlignment="1" applyProtection="1">
      <alignment horizontal="left" vertical="center"/>
      <protection locked="0"/>
    </xf>
    <xf numFmtId="14" fontId="73" fillId="35" borderId="76" xfId="0" applyNumberFormat="1" applyFont="1" applyFill="1" applyBorder="1" applyAlignment="1" applyProtection="1">
      <alignment horizontal="left" vertical="center"/>
      <protection locked="0"/>
    </xf>
    <xf numFmtId="14" fontId="73" fillId="35" borderId="20" xfId="0" applyNumberFormat="1" applyFont="1" applyFill="1" applyBorder="1" applyAlignment="1" applyProtection="1">
      <alignment horizontal="left" vertical="center"/>
      <protection locked="0"/>
    </xf>
    <xf numFmtId="164" fontId="73" fillId="35" borderId="76" xfId="0" applyNumberFormat="1" applyFont="1" applyFill="1" applyBorder="1" applyAlignment="1" applyProtection="1">
      <alignment horizontal="center" vertical="center"/>
      <protection locked="0"/>
    </xf>
    <xf numFmtId="164" fontId="73" fillId="35" borderId="20" xfId="0" applyNumberFormat="1" applyFont="1" applyFill="1" applyBorder="1" applyAlignment="1" applyProtection="1">
      <alignment horizontal="center" vertical="center"/>
      <protection locked="0"/>
    </xf>
    <xf numFmtId="2" fontId="73" fillId="35" borderId="76" xfId="0" applyNumberFormat="1" applyFont="1" applyFill="1" applyBorder="1" applyAlignment="1">
      <alignment horizontal="left" vertical="center" wrapText="1"/>
    </xf>
    <xf numFmtId="2" fontId="73" fillId="35" borderId="20" xfId="0" applyNumberFormat="1" applyFont="1" applyFill="1" applyBorder="1" applyAlignment="1">
      <alignment horizontal="left" vertical="center" wrapText="1"/>
    </xf>
    <xf numFmtId="0" fontId="92" fillId="33" borderId="0" xfId="0" applyFont="1" applyFill="1" applyAlignment="1">
      <alignment horizontal="left" vertical="center" wrapText="1"/>
    </xf>
    <xf numFmtId="0" fontId="93" fillId="33" borderId="0" xfId="0" applyFont="1" applyFill="1" applyAlignment="1">
      <alignment horizontal="center" vertical="center" wrapText="1"/>
    </xf>
    <xf numFmtId="0" fontId="91" fillId="35" borderId="76" xfId="0" applyFont="1" applyFill="1" applyBorder="1" applyAlignment="1" applyProtection="1">
      <alignment horizontal="left" vertical="center" wrapText="1"/>
      <protection locked="0"/>
    </xf>
    <xf numFmtId="0" fontId="91" fillId="35" borderId="20" xfId="0" applyFont="1" applyFill="1" applyBorder="1" applyAlignment="1" applyProtection="1">
      <alignment horizontal="left" vertical="center" wrapText="1"/>
      <protection locked="0"/>
    </xf>
    <xf numFmtId="0" fontId="53" fillId="33" borderId="76" xfId="58" applyFont="1" applyFill="1" applyBorder="1" applyProtection="1">
      <alignment/>
      <protection locked="0"/>
    </xf>
    <xf numFmtId="0" fontId="54" fillId="33" borderId="19" xfId="0" applyFont="1" applyFill="1" applyBorder="1" applyAlignment="1" applyProtection="1">
      <alignment/>
      <protection locked="0"/>
    </xf>
    <xf numFmtId="0" fontId="54" fillId="33" borderId="20" xfId="0" applyFont="1" applyFill="1" applyBorder="1" applyAlignment="1" applyProtection="1">
      <alignment/>
      <protection locked="0"/>
    </xf>
    <xf numFmtId="0" fontId="30" fillId="33" borderId="76" xfId="58" applyFont="1" applyFill="1" applyBorder="1" applyAlignment="1" applyProtection="1">
      <alignment horizontal="center"/>
      <protection locked="0"/>
    </xf>
    <xf numFmtId="0" fontId="30" fillId="33" borderId="19" xfId="58" applyFont="1" applyFill="1" applyBorder="1" applyAlignment="1" applyProtection="1">
      <alignment horizontal="center"/>
      <protection locked="0"/>
    </xf>
    <xf numFmtId="0" fontId="30" fillId="33" borderId="20" xfId="58" applyFont="1" applyFill="1" applyBorder="1" applyAlignment="1" applyProtection="1">
      <alignment horizontal="center"/>
      <protection locked="0"/>
    </xf>
    <xf numFmtId="14" fontId="30" fillId="33" borderId="76" xfId="58" applyNumberFormat="1" applyFont="1" applyFill="1" applyBorder="1" applyAlignment="1" applyProtection="1">
      <alignment horizontal="center"/>
      <protection locked="0"/>
    </xf>
    <xf numFmtId="14" fontId="30" fillId="33" borderId="19" xfId="58" applyNumberFormat="1" applyFont="1" applyFill="1" applyBorder="1" applyAlignment="1" applyProtection="1">
      <alignment horizontal="center"/>
      <protection locked="0"/>
    </xf>
    <xf numFmtId="14" fontId="30" fillId="33" borderId="20" xfId="58" applyNumberFormat="1" applyFont="1" applyFill="1" applyBorder="1" applyAlignment="1" applyProtection="1">
      <alignment horizontal="center"/>
      <protection locked="0"/>
    </xf>
    <xf numFmtId="0" fontId="71" fillId="48" borderId="36" xfId="0" applyFont="1" applyFill="1" applyBorder="1" applyAlignment="1">
      <alignment horizontal="center"/>
    </xf>
    <xf numFmtId="0" fontId="71" fillId="48" borderId="37" xfId="0" applyFont="1" applyFill="1" applyBorder="1" applyAlignment="1">
      <alignment horizontal="center"/>
    </xf>
    <xf numFmtId="0" fontId="71" fillId="33" borderId="43" xfId="0" applyFont="1" applyFill="1" applyBorder="1" applyAlignment="1">
      <alignment horizontal="center"/>
    </xf>
    <xf numFmtId="0" fontId="71" fillId="33" borderId="23" xfId="0" applyFont="1" applyFill="1" applyBorder="1" applyAlignment="1">
      <alignment horizontal="center"/>
    </xf>
    <xf numFmtId="0" fontId="71" fillId="33" borderId="45" xfId="0" applyFont="1" applyFill="1" applyBorder="1" applyAlignment="1">
      <alignment horizontal="center"/>
    </xf>
    <xf numFmtId="0" fontId="71" fillId="33" borderId="32" xfId="0" applyFont="1" applyFill="1" applyBorder="1" applyAlignment="1">
      <alignment horizontal="center"/>
    </xf>
    <xf numFmtId="0" fontId="0" fillId="33" borderId="0" xfId="0" applyFill="1" applyAlignment="1">
      <alignment horizontal="left" vertical="top" wrapText="1"/>
    </xf>
    <xf numFmtId="0" fontId="82" fillId="33" borderId="0" xfId="0" applyFont="1" applyFill="1" applyAlignment="1">
      <alignment horizontal="left" vertical="top" wrapText="1"/>
    </xf>
    <xf numFmtId="0" fontId="71" fillId="45" borderId="10" xfId="0" applyFont="1" applyFill="1" applyBorder="1" applyAlignment="1">
      <alignment horizontal="right"/>
    </xf>
    <xf numFmtId="0" fontId="71" fillId="45" borderId="76" xfId="0" applyFont="1" applyFill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66675</xdr:rowOff>
    </xdr:from>
    <xdr:to>
      <xdr:col>2</xdr:col>
      <xdr:colOff>1438275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9075"/>
          <a:ext cx="1400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he-sps.co.uk/public/excepted-items/Maternity/Maternity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chers"/>
      <sheetName val="Support"/>
      <sheetName val="Teacher Calculator"/>
      <sheetName val="Support Staff Calculator"/>
      <sheetName val="Schools List"/>
    </sheetNames>
    <sheetDataSet>
      <sheetData sheetId="4">
        <row r="2">
          <cell r="A2" t="str">
            <v>Abbey School, The</v>
          </cell>
        </row>
        <row r="3">
          <cell r="A3" t="str">
            <v>Adisham CEP School</v>
          </cell>
        </row>
        <row r="4">
          <cell r="A4" t="str">
            <v>Aldington Primary School</v>
          </cell>
        </row>
        <row r="5">
          <cell r="A5" t="str">
            <v>All Souls' CEP School</v>
          </cell>
        </row>
        <row r="6">
          <cell r="A6" t="str">
            <v>Allington Primary School</v>
          </cell>
        </row>
        <row r="7">
          <cell r="A7" t="str">
            <v>Amherst School</v>
          </cell>
        </row>
        <row r="8">
          <cell r="A8" t="str">
            <v>Anthony Roper Primary School, The</v>
          </cell>
        </row>
        <row r="9">
          <cell r="A9" t="str">
            <v>Archbishop Courtenay Primary School</v>
          </cell>
        </row>
        <row r="10">
          <cell r="A10" t="str">
            <v>Archbishop's School, The</v>
          </cell>
        </row>
        <row r="11">
          <cell r="A11" t="str">
            <v>Ashford Oaks Community Primary School</v>
          </cell>
        </row>
        <row r="12">
          <cell r="A12" t="str">
            <v>Astor College for the Arts</v>
          </cell>
        </row>
        <row r="13">
          <cell r="A13" t="str">
            <v>Astor of Hever Community School, The</v>
          </cell>
        </row>
        <row r="14">
          <cell r="A14" t="str">
            <v>Aycliffe Community Primary School</v>
          </cell>
        </row>
        <row r="15">
          <cell r="A15" t="str">
            <v>Aylesford Primary School</v>
          </cell>
        </row>
        <row r="16">
          <cell r="A16" t="str">
            <v>Aylesford School - Sports College</v>
          </cell>
        </row>
        <row r="17">
          <cell r="A17" t="str">
            <v>Aylesham Primary School</v>
          </cell>
        </row>
        <row r="18">
          <cell r="A18" t="str">
            <v>Bapchild and Tonge CEP School</v>
          </cell>
        </row>
        <row r="19">
          <cell r="A19" t="str">
            <v>Barham CEP School</v>
          </cell>
        </row>
        <row r="20">
          <cell r="A20" t="str">
            <v>Barming Primary School</v>
          </cell>
        </row>
        <row r="21">
          <cell r="A21" t="str">
            <v>Barton Court Grammar School</v>
          </cell>
        </row>
        <row r="22">
          <cell r="A22" t="str">
            <v>Barton Junior School</v>
          </cell>
        </row>
        <row r="23">
          <cell r="A23" t="str">
            <v>Bean Primary School</v>
          </cell>
        </row>
        <row r="24">
          <cell r="A24" t="str">
            <v>Beaver Green Community Primary School</v>
          </cell>
        </row>
        <row r="25">
          <cell r="A25" t="str">
            <v>Benenden CEP School</v>
          </cell>
        </row>
        <row r="26">
          <cell r="A26" t="str">
            <v>Bennett Memorial Diocesan School</v>
          </cell>
        </row>
        <row r="27">
          <cell r="A27" t="str">
            <v>Bethersden Primary School</v>
          </cell>
        </row>
        <row r="28">
          <cell r="A28" t="str">
            <v>Bidborough CEP School</v>
          </cell>
        </row>
        <row r="29">
          <cell r="A29" t="str">
            <v>Birchington CEP School</v>
          </cell>
        </row>
        <row r="30">
          <cell r="A30" t="str">
            <v>Birtley House Independent School</v>
          </cell>
        </row>
        <row r="31">
          <cell r="A31" t="str">
            <v>Bishops Down Primary School</v>
          </cell>
        </row>
        <row r="32">
          <cell r="A32" t="str">
            <v>Blean Primary School</v>
          </cell>
        </row>
        <row r="33">
          <cell r="A33" t="str">
            <v>Bobbing Village School</v>
          </cell>
        </row>
        <row r="34">
          <cell r="A34" t="str">
            <v>Bodsham CEP School</v>
          </cell>
        </row>
        <row r="35">
          <cell r="A35" t="str">
            <v>Borden CEP School</v>
          </cell>
        </row>
        <row r="36">
          <cell r="A36" t="str">
            <v>Borden Grammar School</v>
          </cell>
        </row>
        <row r="37">
          <cell r="A37" t="str">
            <v>Borough Green Primary School</v>
          </cell>
        </row>
        <row r="38">
          <cell r="A38" t="str">
            <v>Boughton Monchelsea Primary School</v>
          </cell>
        </row>
        <row r="39">
          <cell r="A39" t="str">
            <v>Boughton-under-Blean and Dunkirk Primary School</v>
          </cell>
        </row>
        <row r="40">
          <cell r="A40" t="str">
            <v>Bower Grove School</v>
          </cell>
        </row>
        <row r="41">
          <cell r="A41" t="str">
            <v>Brabourne CEP School</v>
          </cell>
        </row>
        <row r="42">
          <cell r="A42" t="str">
            <v>Bradstow School</v>
          </cell>
        </row>
        <row r="43">
          <cell r="A43" t="str">
            <v>Bredgar CEP School</v>
          </cell>
        </row>
        <row r="44">
          <cell r="A44" t="str">
            <v>Bredhurst CEP School</v>
          </cell>
        </row>
        <row r="45">
          <cell r="A45" t="str">
            <v>Brenchley and Matfield CEP School</v>
          </cell>
        </row>
        <row r="46">
          <cell r="A46" t="str">
            <v>Brent Primary School, The</v>
          </cell>
        </row>
        <row r="47">
          <cell r="A47" t="str">
            <v>Brenzett CEP School</v>
          </cell>
        </row>
        <row r="48">
          <cell r="A48" t="str">
            <v>Briary Primary School</v>
          </cell>
        </row>
        <row r="49">
          <cell r="A49" t="str">
            <v>Bridge and Patrixbourne CEP School</v>
          </cell>
        </row>
        <row r="50">
          <cell r="A50" t="str">
            <v>Broadwater Down Primary School</v>
          </cell>
        </row>
        <row r="51">
          <cell r="A51" t="str">
            <v>Brockhill Park Performing Arts College</v>
          </cell>
        </row>
        <row r="52">
          <cell r="A52" t="str">
            <v>Bromstone Primary School, Broadstairs</v>
          </cell>
        </row>
        <row r="53">
          <cell r="A53" t="str">
            <v>Brook Community Primary School</v>
          </cell>
        </row>
        <row r="54">
          <cell r="A54" t="str">
            <v>Brookfield Infant School</v>
          </cell>
        </row>
        <row r="55">
          <cell r="A55" t="str">
            <v>Brookfield Junior School</v>
          </cell>
        </row>
        <row r="56">
          <cell r="A56" t="str">
            <v>Brookland CEP School</v>
          </cell>
        </row>
        <row r="57">
          <cell r="A57" t="str">
            <v>Broomhill Bank School</v>
          </cell>
        </row>
        <row r="58">
          <cell r="A58" t="str">
            <v>Brunswick House Primary School</v>
          </cell>
        </row>
        <row r="59">
          <cell r="A59" t="str">
            <v>Burham CEP School</v>
          </cell>
        </row>
        <row r="60">
          <cell r="A60" t="str">
            <v>Bysing Wood Primary School</v>
          </cell>
        </row>
        <row r="61">
          <cell r="A61" t="str">
            <v>Cage Green Primary School</v>
          </cell>
        </row>
        <row r="62">
          <cell r="A62" t="str">
            <v>Callis Grange Nursery and Infant School</v>
          </cell>
        </row>
        <row r="63">
          <cell r="A63" t="str">
            <v>Canterbury Academy, The</v>
          </cell>
        </row>
        <row r="64">
          <cell r="A64" t="str">
            <v>Canterbury Primary School, The</v>
          </cell>
        </row>
        <row r="65">
          <cell r="A65" t="str">
            <v>Canterbury Road Primary School</v>
          </cell>
        </row>
        <row r="66">
          <cell r="A66" t="str">
            <v>Capel Primary School</v>
          </cell>
        </row>
        <row r="67">
          <cell r="A67" t="str">
            <v>Capel-le-Ferne Primary School</v>
          </cell>
        </row>
        <row r="68">
          <cell r="A68" t="str">
            <v>Cartwright and Kelsey CEP School</v>
          </cell>
        </row>
        <row r="69">
          <cell r="A69" t="str">
            <v>Castle Community College</v>
          </cell>
        </row>
        <row r="70">
          <cell r="A70" t="str">
            <v>Castle Hill Community Primary School</v>
          </cell>
        </row>
        <row r="71">
          <cell r="A71" t="str">
            <v>Cecil Road Primary and Nursery School</v>
          </cell>
        </row>
        <row r="72">
          <cell r="A72" t="str">
            <v>Chailey Heritage School</v>
          </cell>
        </row>
        <row r="73">
          <cell r="A73" t="str">
            <v>Challock Primary School</v>
          </cell>
        </row>
        <row r="74">
          <cell r="A74" t="str">
            <v>Chantry Primary School</v>
          </cell>
        </row>
        <row r="75">
          <cell r="A75" t="str">
            <v>Charing CEP School</v>
          </cell>
        </row>
        <row r="76">
          <cell r="A76" t="str">
            <v>Charles Dickens School, The</v>
          </cell>
        </row>
        <row r="77">
          <cell r="A77" t="str">
            <v>Charlton CEP School</v>
          </cell>
        </row>
        <row r="78">
          <cell r="A78" t="str">
            <v>Chartham Primary School</v>
          </cell>
        </row>
        <row r="79">
          <cell r="A79" t="str">
            <v>Chatham House Grammar School</v>
          </cell>
        </row>
        <row r="80">
          <cell r="A80" t="str">
            <v>Chaucer Technology School</v>
          </cell>
        </row>
        <row r="81">
          <cell r="A81" t="str">
            <v>Cheriton Primary School</v>
          </cell>
        </row>
        <row r="82">
          <cell r="A82" t="str">
            <v>Chevening (St Botolph's) CEP School</v>
          </cell>
        </row>
        <row r="83">
          <cell r="A83" t="str">
            <v>Chiddingstone CEP School</v>
          </cell>
        </row>
        <row r="84">
          <cell r="A84" t="str">
            <v>Chilton Primary School</v>
          </cell>
        </row>
        <row r="85">
          <cell r="A85" t="str">
            <v>Chislet CEP School</v>
          </cell>
        </row>
        <row r="86">
          <cell r="A86" t="str">
            <v>Christ Church CE Junior School, Ramsgate</v>
          </cell>
        </row>
        <row r="87">
          <cell r="A87" t="str">
            <v>Christ Church CEP School, Folkestone</v>
          </cell>
        </row>
        <row r="88">
          <cell r="A88" t="str">
            <v>Churchill CEP School</v>
          </cell>
        </row>
        <row r="89">
          <cell r="A89" t="str">
            <v>Churchill School, The</v>
          </cell>
        </row>
        <row r="90">
          <cell r="A90" t="str">
            <v>Claremont Primary School</v>
          </cell>
        </row>
        <row r="91">
          <cell r="A91" t="str">
            <v>Clarendon House Grammar School</v>
          </cell>
        </row>
        <row r="92">
          <cell r="A92" t="str">
            <v>Cliftonville Primary School</v>
          </cell>
        </row>
        <row r="93">
          <cell r="A93" t="str">
            <v>Cobham Primary School</v>
          </cell>
        </row>
        <row r="94">
          <cell r="A94" t="str">
            <v>Colliers Green CEP School</v>
          </cell>
        </row>
        <row r="95">
          <cell r="A95" t="str">
            <v>Community College Whitstable, The</v>
          </cell>
        </row>
        <row r="96">
          <cell r="A96" t="str">
            <v>Cornwallis Academy</v>
          </cell>
        </row>
        <row r="97">
          <cell r="A97" t="str">
            <v>Coxheath Primary School</v>
          </cell>
        </row>
        <row r="98">
          <cell r="A98" t="str">
            <v>Cranbrook CEP School</v>
          </cell>
        </row>
        <row r="99">
          <cell r="A99" t="str">
            <v>Cranbrook School</v>
          </cell>
        </row>
        <row r="100">
          <cell r="A100" t="str">
            <v>Craylands Community Primary School, The</v>
          </cell>
        </row>
        <row r="101">
          <cell r="A101" t="str">
            <v>Crockenhill Primary School</v>
          </cell>
        </row>
        <row r="102">
          <cell r="A102" t="str">
            <v>Crockham Hill CEP School</v>
          </cell>
        </row>
        <row r="103">
          <cell r="A103" t="str">
            <v>Culverstone Green Primary School</v>
          </cell>
        </row>
        <row r="104">
          <cell r="A104" t="str">
            <v>Dame Janet Primary Academy (Prev Dame Janet Community Infant and Nursery School) </v>
          </cell>
        </row>
        <row r="105">
          <cell r="A105" t="str">
            <v>Dame Janet Primary Academy (Prev Dame Janet Community Junior School) </v>
          </cell>
        </row>
        <row r="106">
          <cell r="A106" t="str">
            <v>Dane Court Grammar School</v>
          </cell>
        </row>
        <row r="107">
          <cell r="A107" t="str">
            <v>Darenth Community Primary School</v>
          </cell>
        </row>
        <row r="108">
          <cell r="A108" t="str">
            <v>Dartford Bridge Community Primary School</v>
          </cell>
        </row>
        <row r="109">
          <cell r="A109" t="str">
            <v>Dartford Grammar School</v>
          </cell>
        </row>
        <row r="110">
          <cell r="A110" t="str">
            <v>Dartford Grammar School for Girls</v>
          </cell>
        </row>
        <row r="111">
          <cell r="A111" t="str">
            <v>Dartford Science and Technology College</v>
          </cell>
        </row>
        <row r="112">
          <cell r="A112" t="str">
            <v>Davington Primary School</v>
          </cell>
        </row>
        <row r="113">
          <cell r="A113" t="str">
            <v>Deal Parochial CEP School</v>
          </cell>
        </row>
        <row r="114">
          <cell r="A114" t="str">
            <v>Diocesan and Payne Smith CEP School</v>
          </cell>
        </row>
        <row r="115">
          <cell r="A115" t="str">
            <v>Discovery School, The</v>
          </cell>
        </row>
        <row r="116">
          <cell r="A116" t="str">
            <v>Ditton CE Junior School</v>
          </cell>
        </row>
        <row r="117">
          <cell r="A117" t="str">
            <v>Ditton Infant School</v>
          </cell>
        </row>
        <row r="118">
          <cell r="A118" t="str">
            <v>Dover Christ Church Academy</v>
          </cell>
        </row>
        <row r="119">
          <cell r="A119" t="str">
            <v>Dover Grammar School for Boys</v>
          </cell>
        </row>
        <row r="120">
          <cell r="A120" t="str">
            <v>Dover Grammar School for Girls</v>
          </cell>
        </row>
        <row r="121">
          <cell r="A121" t="str">
            <v>Dover Road Community Primary School</v>
          </cell>
        </row>
        <row r="122">
          <cell r="A122" t="str">
            <v>Downs CEP School, The</v>
          </cell>
        </row>
        <row r="123">
          <cell r="A123" t="str">
            <v>Downs View Infant School</v>
          </cell>
        </row>
        <row r="124">
          <cell r="A124" t="str">
            <v>Downsview Community Primary School</v>
          </cell>
        </row>
        <row r="125">
          <cell r="A125" t="str">
            <v>Drapers Mills Primary Academy</v>
          </cell>
        </row>
        <row r="126">
          <cell r="A126" t="str">
            <v>Duke of York's Royal Military Academy, The</v>
          </cell>
        </row>
        <row r="127">
          <cell r="A127" t="str">
            <v>Dunton Green Primary School</v>
          </cell>
        </row>
        <row r="128">
          <cell r="A128" t="str">
            <v>Dymchurch Primary School</v>
          </cell>
        </row>
        <row r="129">
          <cell r="A129" t="str">
            <v>East Borough Primary School</v>
          </cell>
        </row>
        <row r="130">
          <cell r="A130" t="str">
            <v>East Farleigh Primary School</v>
          </cell>
        </row>
        <row r="131">
          <cell r="A131" t="str">
            <v>East Peckham Primary School</v>
          </cell>
        </row>
        <row r="132">
          <cell r="A132" t="str">
            <v>East Stour Primary School</v>
          </cell>
        </row>
        <row r="133">
          <cell r="A133" t="str">
            <v>Eastchurch CEP School</v>
          </cell>
        </row>
        <row r="134">
          <cell r="A134" t="str">
            <v>Eastling Primary School</v>
          </cell>
        </row>
        <row r="135">
          <cell r="A135" t="str">
            <v>Eastry CEP School</v>
          </cell>
        </row>
        <row r="136">
          <cell r="A136" t="str">
            <v>Edenbridge Primary School</v>
          </cell>
        </row>
        <row r="137">
          <cell r="A137" t="str">
            <v>Egerton CEP School</v>
          </cell>
        </row>
        <row r="138">
          <cell r="A138" t="str">
            <v>Elham CEP School</v>
          </cell>
        </row>
        <row r="139">
          <cell r="A139" t="str">
            <v>Ellington &amp; Hereson School, The</v>
          </cell>
        </row>
        <row r="140">
          <cell r="A140" t="str">
            <v>Ellington Infant School</v>
          </cell>
        </row>
        <row r="141">
          <cell r="A141" t="str">
            <v>Ethelbert Road Primary School</v>
          </cell>
        </row>
        <row r="142">
          <cell r="A142" t="str">
            <v>Eythorne Elvington Community Primary School</v>
          </cell>
        </row>
        <row r="143">
          <cell r="A143" t="str">
            <v>Fawkham C of E Primary School</v>
          </cell>
        </row>
        <row r="144">
          <cell r="A144" t="str">
            <v>Five Acre Wood School</v>
          </cell>
        </row>
        <row r="145">
          <cell r="A145" t="str">
            <v>Fleetdown Primary School</v>
          </cell>
        </row>
        <row r="146">
          <cell r="A146" t="str">
            <v>Folkestone Academy, The</v>
          </cell>
        </row>
        <row r="147">
          <cell r="A147" t="str">
            <v>Folkestone School For Girls, The</v>
          </cell>
        </row>
        <row r="148">
          <cell r="A148" t="str">
            <v>Fordcombe CEP School</v>
          </cell>
        </row>
        <row r="149">
          <cell r="A149" t="str">
            <v>Foreland School, The</v>
          </cell>
        </row>
        <row r="150">
          <cell r="A150" t="str">
            <v>Fort Pitt Grammar School </v>
          </cell>
        </row>
        <row r="151">
          <cell r="A151" t="str">
            <v>Four Elms Primary School</v>
          </cell>
        </row>
        <row r="152">
          <cell r="A152" t="str">
            <v>Foxwood School</v>
          </cell>
        </row>
        <row r="153">
          <cell r="A153" t="str">
            <v>Frittenden CEP School</v>
          </cell>
        </row>
        <row r="154">
          <cell r="A154" t="str">
            <v>Fulston Manor School</v>
          </cell>
        </row>
        <row r="155">
          <cell r="A155" t="str">
            <v>Furley Park Primary School</v>
          </cell>
        </row>
        <row r="156">
          <cell r="A156" t="str">
            <v>Furness School</v>
          </cell>
        </row>
        <row r="157">
          <cell r="A157" t="str">
            <v>Garlinge Primary School and Nursery</v>
          </cell>
        </row>
        <row r="158">
          <cell r="A158" t="str">
            <v>Gateway Community Primary School, The</v>
          </cell>
        </row>
        <row r="159">
          <cell r="A159" t="str">
            <v>Goat Lees Primary School</v>
          </cell>
        </row>
        <row r="160">
          <cell r="A160" t="str">
            <v>Godinton Primary School</v>
          </cell>
        </row>
        <row r="161">
          <cell r="A161" t="str">
            <v>Goldwyn Community Special School</v>
          </cell>
        </row>
        <row r="162">
          <cell r="A162" t="str">
            <v>Goodnestone CEP School</v>
          </cell>
        </row>
        <row r="163">
          <cell r="A163" t="str">
            <v>Goudhurst &amp; Kilndown CEP School</v>
          </cell>
        </row>
        <row r="164">
          <cell r="A164" t="str">
            <v>Grange Park School</v>
          </cell>
        </row>
        <row r="165">
          <cell r="A165" t="str">
            <v>Graveney Primary School</v>
          </cell>
        </row>
        <row r="166">
          <cell r="A166" t="str">
            <v>Gravesend Grammar School</v>
          </cell>
        </row>
        <row r="167">
          <cell r="A167" t="str">
            <v>Great Chart Primary School</v>
          </cell>
        </row>
        <row r="168">
          <cell r="A168" t="str">
            <v>Greatstone Primary School</v>
          </cell>
        </row>
        <row r="169">
          <cell r="A169" t="str">
            <v>Green Park Community Primary School</v>
          </cell>
        </row>
        <row r="170">
          <cell r="A170" t="str">
            <v>Greenfields Community Primary School</v>
          </cell>
        </row>
        <row r="171">
          <cell r="A171" t="str">
            <v>Greenway Academy</v>
          </cell>
        </row>
        <row r="172">
          <cell r="A172" t="str">
            <v>Grove Park Community School</v>
          </cell>
        </row>
        <row r="173">
          <cell r="A173" t="str">
            <v>Guston CEP School</v>
          </cell>
        </row>
        <row r="174">
          <cell r="A174" t="str">
            <v>Hadlow Primary School</v>
          </cell>
        </row>
        <row r="175">
          <cell r="A175" t="str">
            <v>Halfway Houses Primary School</v>
          </cell>
        </row>
        <row r="176">
          <cell r="A176" t="str">
            <v>Halstead Community Primary School</v>
          </cell>
        </row>
        <row r="177">
          <cell r="A177" t="str">
            <v>Hampton Primary School</v>
          </cell>
        </row>
        <row r="178">
          <cell r="A178" t="str">
            <v>Hamstreet Primary School</v>
          </cell>
        </row>
        <row r="179">
          <cell r="A179" t="str">
            <v>Harbour School</v>
          </cell>
        </row>
        <row r="180">
          <cell r="A180" t="str">
            <v>Harcourt Primary School</v>
          </cell>
        </row>
        <row r="181">
          <cell r="A181" t="str">
            <v>Harrietsham CEP School</v>
          </cell>
        </row>
        <row r="182">
          <cell r="A182" t="str">
            <v>Hartley Primary School</v>
          </cell>
        </row>
        <row r="183">
          <cell r="A183" t="str">
            <v>Hartlip Endowed CEP School</v>
          </cell>
        </row>
        <row r="184">
          <cell r="A184" t="str">
            <v>Hartsdown Technology College</v>
          </cell>
        </row>
        <row r="185">
          <cell r="A185" t="str">
            <v>Harvey Grammar School, The</v>
          </cell>
        </row>
        <row r="186">
          <cell r="A186" t="str">
            <v>Hawkhurst CEP School</v>
          </cell>
        </row>
        <row r="187">
          <cell r="A187" t="str">
            <v>Hawkinge Primary School</v>
          </cell>
        </row>
        <row r="188">
          <cell r="A188" t="str">
            <v>Hayesbrook School, The</v>
          </cell>
        </row>
        <row r="189">
          <cell r="A189" t="str">
            <v>Headcorn Primary School</v>
          </cell>
        </row>
        <row r="190">
          <cell r="A190" t="str">
            <v>Herne Bay High School</v>
          </cell>
        </row>
        <row r="191">
          <cell r="A191" t="str">
            <v>Herne Bay Infant School</v>
          </cell>
        </row>
        <row r="192">
          <cell r="A192" t="str">
            <v>Herne Bay Junior School</v>
          </cell>
        </row>
        <row r="193">
          <cell r="A193" t="str">
            <v>Herne CE Infant School</v>
          </cell>
        </row>
        <row r="194">
          <cell r="A194" t="str">
            <v>Herne CE Junior School</v>
          </cell>
        </row>
        <row r="195">
          <cell r="A195" t="str">
            <v>Hernhill CEP School</v>
          </cell>
        </row>
        <row r="196">
          <cell r="A196" t="str">
            <v>Hersden Community Primary School</v>
          </cell>
        </row>
        <row r="197">
          <cell r="A197" t="str">
            <v>Hever CEP School</v>
          </cell>
        </row>
        <row r="198">
          <cell r="A198" t="str">
            <v>Hextable Primary School</v>
          </cell>
        </row>
        <row r="199">
          <cell r="A199" t="str">
            <v>Hextable School</v>
          </cell>
        </row>
        <row r="200">
          <cell r="A200" t="str">
            <v>High Firs Primary School</v>
          </cell>
        </row>
        <row r="201">
          <cell r="A201" t="str">
            <v>High Halden CEP School</v>
          </cell>
        </row>
        <row r="202">
          <cell r="A202" t="str">
            <v>High Weald Academy</v>
          </cell>
        </row>
        <row r="203">
          <cell r="A203" t="str">
            <v>Higham Primary School</v>
          </cell>
        </row>
        <row r="204">
          <cell r="A204" t="str">
            <v>Highsted Grammar School</v>
          </cell>
        </row>
        <row r="205">
          <cell r="A205" t="str">
            <v>Highview School</v>
          </cell>
        </row>
        <row r="206">
          <cell r="A206" t="str">
            <v>Highworth Grammar School</v>
          </cell>
        </row>
        <row r="207">
          <cell r="A207" t="str">
            <v>Hildenborough CEP School</v>
          </cell>
        </row>
        <row r="208">
          <cell r="A208" t="str">
            <v>Hillview School for Girls</v>
          </cell>
        </row>
        <row r="209">
          <cell r="A209" t="str">
            <v>Hoath Primary School</v>
          </cell>
        </row>
        <row r="210">
          <cell r="A210" t="str">
            <v>Hollingbourne Primary School</v>
          </cell>
        </row>
        <row r="211">
          <cell r="A211" t="str">
            <v>Holmesdale Technology College</v>
          </cell>
        </row>
        <row r="212">
          <cell r="A212" t="str">
            <v>Holy Family RC Primary School, The</v>
          </cell>
        </row>
        <row r="213">
          <cell r="A213" t="str">
            <v>Holy Trinity and St Johns CEP School</v>
          </cell>
        </row>
        <row r="214">
          <cell r="A214" t="str">
            <v>Holy Trinity CEP School, Dartford</v>
          </cell>
        </row>
        <row r="215">
          <cell r="A215" t="str">
            <v>Holy Trinity CEP School, Gravesend</v>
          </cell>
        </row>
        <row r="216">
          <cell r="A216" t="str">
            <v>Holy Trinity CEP School, Ramsgate</v>
          </cell>
        </row>
        <row r="217">
          <cell r="A217" t="str">
            <v>Holywell Primary School, Upchurch</v>
          </cell>
        </row>
        <row r="218">
          <cell r="A218" t="str">
            <v>Homewood School and Sixth Form Centre</v>
          </cell>
        </row>
        <row r="219">
          <cell r="A219" t="str">
            <v>Horizon Primary Academy</v>
          </cell>
        </row>
        <row r="220">
          <cell r="A220" t="str">
            <v>Hornbeam Primary School</v>
          </cell>
        </row>
        <row r="221">
          <cell r="A221" t="str">
            <v>Horsmonden Primary School</v>
          </cell>
        </row>
        <row r="222">
          <cell r="A222" t="str">
            <v>Horton Kirby CEP School</v>
          </cell>
        </row>
        <row r="223">
          <cell r="A223" t="str">
            <v>Hugh Christie Technology College</v>
          </cell>
        </row>
        <row r="224">
          <cell r="A224" t="str">
            <v>Hunton CEP School</v>
          </cell>
        </row>
        <row r="225">
          <cell r="A225" t="str">
            <v>Hythe Bay CEP School</v>
          </cell>
        </row>
        <row r="226">
          <cell r="A226" t="str">
            <v>Ide Hill CEP School</v>
          </cell>
        </row>
        <row r="227">
          <cell r="A227" t="str">
            <v>Ifield School, The</v>
          </cell>
        </row>
        <row r="228">
          <cell r="A228" t="str">
            <v>Ightham Primary School</v>
          </cell>
        </row>
        <row r="229">
          <cell r="A229" t="str">
            <v>Invicta Grammar School</v>
          </cell>
        </row>
        <row r="230">
          <cell r="A230" t="str">
            <v>Isle of Sheppey Academy, The</v>
          </cell>
        </row>
        <row r="231">
          <cell r="A231" t="str">
            <v>Istead Rise Primary School</v>
          </cell>
        </row>
        <row r="232">
          <cell r="A232" t="str">
            <v>Iwade Community Primary School</v>
          </cell>
        </row>
        <row r="233">
          <cell r="A233" t="str">
            <v>John Mayne CEP School</v>
          </cell>
        </row>
        <row r="234">
          <cell r="A234" t="str">
            <v>John Wallis CE Academy, The</v>
          </cell>
        </row>
        <row r="235">
          <cell r="A235" t="str">
            <v>John Wesley Primary School, The</v>
          </cell>
        </row>
        <row r="236">
          <cell r="A236" t="str">
            <v>Joy Lane Primary School</v>
          </cell>
        </row>
        <row r="237">
          <cell r="A237" t="str">
            <v>Joydens Wood Infant School</v>
          </cell>
        </row>
        <row r="238">
          <cell r="A238" t="str">
            <v>Joydens Wood Junior School</v>
          </cell>
        </row>
        <row r="239">
          <cell r="A239" t="str">
            <v>Judd School, The</v>
          </cell>
        </row>
        <row r="240">
          <cell r="A240" t="str">
            <v>Kemsing Primary School</v>
          </cell>
        </row>
        <row r="241">
          <cell r="A241" t="str">
            <v>Kemsley Primary School</v>
          </cell>
        </row>
        <row r="242">
          <cell r="A242" t="str">
            <v>Kennington CE Junior School</v>
          </cell>
        </row>
        <row r="243">
          <cell r="A243" t="str">
            <v>King Ethelbert School Academy</v>
          </cell>
        </row>
        <row r="244">
          <cell r="A244" t="str">
            <v>Kings Farm Primary School</v>
          </cell>
        </row>
        <row r="245">
          <cell r="A245" t="str">
            <v>Kings Hill School</v>
          </cell>
        </row>
        <row r="246">
          <cell r="A246" t="str">
            <v>Kingsdown &amp; Ringwould CEP School</v>
          </cell>
        </row>
        <row r="247">
          <cell r="A247" t="str">
            <v>Kingsmead Primary School</v>
          </cell>
        </row>
        <row r="248">
          <cell r="A248" t="str">
            <v>Kingsnorth CEP School</v>
          </cell>
        </row>
        <row r="249">
          <cell r="A249" t="str">
            <v>Kingswood Primary School</v>
          </cell>
        </row>
        <row r="250">
          <cell r="A250" t="str">
            <v>Knockhall Community Primary School</v>
          </cell>
        </row>
        <row r="251">
          <cell r="A251" t="str">
            <v>Knole Academy</v>
          </cell>
        </row>
        <row r="252">
          <cell r="A252" t="str">
            <v>Laddingford St Mary's CEP School</v>
          </cell>
        </row>
        <row r="253">
          <cell r="A253" t="str">
            <v>Lady Boswell's CEP School, Sevenoaks</v>
          </cell>
        </row>
        <row r="254">
          <cell r="A254" t="str">
            <v>Lady Joanna Thornhill (Endowed) Primary School</v>
          </cell>
        </row>
        <row r="255">
          <cell r="A255" t="str">
            <v>Laleham Gap School</v>
          </cell>
        </row>
        <row r="256">
          <cell r="A256" t="str">
            <v>Lamberhurst St Mary's CEP School</v>
          </cell>
        </row>
        <row r="257">
          <cell r="A257" t="str">
            <v>Langafel CEP School</v>
          </cell>
        </row>
        <row r="258">
          <cell r="A258" t="str">
            <v>Langdon Primary School</v>
          </cell>
        </row>
        <row r="259">
          <cell r="A259" t="str">
            <v>Langton Green Primary School</v>
          </cell>
        </row>
        <row r="260">
          <cell r="A260" t="str">
            <v>Lansdowne Primary School</v>
          </cell>
        </row>
        <row r="261">
          <cell r="A261" t="str">
            <v>Lawn Primary School</v>
          </cell>
        </row>
        <row r="262">
          <cell r="A262" t="str">
            <v>Leeds and Broomfield CEP School</v>
          </cell>
        </row>
        <row r="263">
          <cell r="A263" t="str">
            <v>Leigh Primary School</v>
          </cell>
        </row>
        <row r="264">
          <cell r="A264" t="str">
            <v>Leigh Technology Academy</v>
          </cell>
        </row>
        <row r="265">
          <cell r="A265" t="str">
            <v>Lenham Primary School</v>
          </cell>
        </row>
        <row r="266">
          <cell r="A266" t="str">
            <v>Linden Grove Primary School</v>
          </cell>
        </row>
        <row r="267">
          <cell r="A267" t="str">
            <v>Littlebourne CEP School</v>
          </cell>
        </row>
        <row r="268">
          <cell r="A268" t="str">
            <v>Long Mead Community Primary School</v>
          </cell>
        </row>
        <row r="269">
          <cell r="A269" t="str">
            <v>Longfield Academy</v>
          </cell>
        </row>
        <row r="270">
          <cell r="A270" t="str">
            <v>Loose Infant School</v>
          </cell>
        </row>
        <row r="271">
          <cell r="A271" t="str">
            <v>Loose Junior School</v>
          </cell>
        </row>
        <row r="272">
          <cell r="A272" t="str">
            <v>Lower Halstow School</v>
          </cell>
        </row>
        <row r="273">
          <cell r="A273" t="str">
            <v>Luddenham School</v>
          </cell>
        </row>
        <row r="274">
          <cell r="A274" t="str">
            <v>Lunsford Primary School</v>
          </cell>
        </row>
        <row r="275">
          <cell r="A275" t="str">
            <v>Lydd Primary School</v>
          </cell>
        </row>
        <row r="276">
          <cell r="A276" t="str">
            <v>Lydden Primary School</v>
          </cell>
        </row>
        <row r="277">
          <cell r="A277" t="str">
            <v>Lyminge CEP School</v>
          </cell>
        </row>
        <row r="278">
          <cell r="A278" t="str">
            <v>Lympne CEP School</v>
          </cell>
        </row>
        <row r="279">
          <cell r="A279" t="str">
            <v>Madginford Park Infant School</v>
          </cell>
        </row>
        <row r="280">
          <cell r="A280" t="str">
            <v>Madginford Park Junior School</v>
          </cell>
        </row>
        <row r="281">
          <cell r="A281" t="str">
            <v>Maidstone Grammar School</v>
          </cell>
        </row>
        <row r="282">
          <cell r="A282" t="str">
            <v>Maidstone Grammar School for Girls</v>
          </cell>
        </row>
        <row r="283">
          <cell r="A283" t="str">
            <v>Malling School, The</v>
          </cell>
        </row>
        <row r="284">
          <cell r="A284" t="str">
            <v>Manor Community Primary School</v>
          </cell>
        </row>
        <row r="285">
          <cell r="A285" t="str">
            <v>Maplesden Noakes School, The</v>
          </cell>
        </row>
        <row r="286">
          <cell r="A286" t="str">
            <v>Marden Primary School</v>
          </cell>
        </row>
        <row r="287">
          <cell r="A287" t="str">
            <v>Marlowe Academy, The</v>
          </cell>
        </row>
        <row r="288">
          <cell r="A288" t="str">
            <v>Marsh Academy</v>
          </cell>
        </row>
        <row r="289">
          <cell r="A289" t="str">
            <v>Mascalls School</v>
          </cell>
        </row>
        <row r="290">
          <cell r="A290" t="str">
            <v>Mayfield Grammar School, Gravesend (Prev, Gravesend Grammar School for Girls)</v>
          </cell>
        </row>
        <row r="291">
          <cell r="A291" t="str">
            <v>Maypole Primary School</v>
          </cell>
        </row>
        <row r="292">
          <cell r="A292" t="str">
            <v>Meadowfield School</v>
          </cell>
        </row>
        <row r="293">
          <cell r="A293" t="str">
            <v>Meopham Community Academy</v>
          </cell>
        </row>
        <row r="294">
          <cell r="A294" t="str">
            <v>Meopham School</v>
          </cell>
        </row>
        <row r="295">
          <cell r="A295" t="str">
            <v>Mereworth Community Primary School</v>
          </cell>
        </row>
        <row r="296">
          <cell r="A296" t="str">
            <v>Mersham Primary School</v>
          </cell>
        </row>
        <row r="297">
          <cell r="A297" t="str">
            <v>Milestone School</v>
          </cell>
        </row>
        <row r="298">
          <cell r="A298" t="str">
            <v>Milton Court Primary School</v>
          </cell>
        </row>
        <row r="299">
          <cell r="A299" t="str">
            <v>Minster CEP School</v>
          </cell>
        </row>
        <row r="300">
          <cell r="A300" t="str">
            <v>Minster in Sheppey Primary School</v>
          </cell>
        </row>
        <row r="301">
          <cell r="A301" t="str">
            <v>Minterne Community Junior School</v>
          </cell>
        </row>
        <row r="302">
          <cell r="A302" t="str">
            <v>Molehill Copse Primary School</v>
          </cell>
        </row>
        <row r="303">
          <cell r="A303" t="str">
            <v>Monkton CEP School</v>
          </cell>
        </row>
        <row r="304">
          <cell r="A304" t="str">
            <v>More Park RCP School</v>
          </cell>
        </row>
        <row r="305">
          <cell r="A305" t="str">
            <v>Morehall Primary School</v>
          </cell>
        </row>
        <row r="306">
          <cell r="A306" t="str">
            <v>Mundella Primary School</v>
          </cell>
        </row>
        <row r="307">
          <cell r="A307" t="str">
            <v>Murston Infant School</v>
          </cell>
        </row>
        <row r="308">
          <cell r="A308" t="str">
            <v>Murston Junior School</v>
          </cell>
        </row>
        <row r="309">
          <cell r="A309" t="str">
            <v>New Ash Green Primary School</v>
          </cell>
        </row>
        <row r="310">
          <cell r="A310" t="str">
            <v>New Line Learning Academy</v>
          </cell>
        </row>
        <row r="311">
          <cell r="A311" t="str">
            <v>Newington CEP School</v>
          </cell>
        </row>
        <row r="312">
          <cell r="A312" t="str">
            <v>Newington Community Primary School</v>
          </cell>
        </row>
        <row r="313">
          <cell r="A313" t="str">
            <v>Newlands Primary School</v>
          </cell>
        </row>
        <row r="314">
          <cell r="A314" t="str">
            <v>Nonington CEP School</v>
          </cell>
        </row>
        <row r="315">
          <cell r="A315" t="str">
            <v>North Borough Junior School</v>
          </cell>
        </row>
        <row r="316">
          <cell r="A316" t="str">
            <v>North School, The</v>
          </cell>
        </row>
        <row r="317">
          <cell r="A317" t="str">
            <v>Northbourne CEP School</v>
          </cell>
        </row>
        <row r="318">
          <cell r="A318" t="str">
            <v>Northdown Primary School</v>
          </cell>
        </row>
        <row r="319">
          <cell r="A319" t="str">
            <v>Northfleet Nursery School</v>
          </cell>
        </row>
        <row r="320">
          <cell r="A320" t="str">
            <v>Northfleet School for Girls</v>
          </cell>
        </row>
        <row r="321">
          <cell r="A321" t="str">
            <v>Northfleet Technology College</v>
          </cell>
        </row>
        <row r="322">
          <cell r="A322" t="str">
            <v>Norton Knatchbull School, The</v>
          </cell>
        </row>
        <row r="323">
          <cell r="A323" t="str">
            <v>Oak Lodge school</v>
          </cell>
        </row>
        <row r="324">
          <cell r="A324" t="str">
            <v>Oakfield Community Primary School</v>
          </cell>
        </row>
        <row r="325">
          <cell r="A325" t="str">
            <v>Oakley School</v>
          </cell>
        </row>
        <row r="326">
          <cell r="A326" t="str">
            <v>Oaks Academy </v>
          </cell>
        </row>
        <row r="327">
          <cell r="A327" t="str">
            <v>Oaks Community Infant School, The</v>
          </cell>
        </row>
        <row r="328">
          <cell r="A328" t="str">
            <v>Oakwood Park Grammar School</v>
          </cell>
        </row>
        <row r="329">
          <cell r="A329" t="str">
            <v>Offham Primary School</v>
          </cell>
        </row>
        <row r="330">
          <cell r="A330" t="str">
            <v>Orchard School, The</v>
          </cell>
        </row>
        <row r="331">
          <cell r="A331" t="str">
            <v>Orchards Academy</v>
          </cell>
        </row>
        <row r="332">
          <cell r="A332" t="str">
            <v>Ospringe CEP School</v>
          </cell>
        </row>
        <row r="333">
          <cell r="A333" t="str">
            <v>Otford Primary School</v>
          </cell>
        </row>
        <row r="334">
          <cell r="A334" t="str">
            <v>Our Lady of Hartley Catholic Primary School</v>
          </cell>
        </row>
        <row r="335">
          <cell r="A335" t="str">
            <v>Our Lady's Catholic Primary School, Dartford</v>
          </cell>
        </row>
        <row r="336">
          <cell r="A336" t="str">
            <v>Paddock Wood Primary School</v>
          </cell>
        </row>
        <row r="337">
          <cell r="A337" t="str">
            <v>Painters Ash Primary School</v>
          </cell>
        </row>
        <row r="338">
          <cell r="A338" t="str">
            <v>Palace Wood Primary School</v>
          </cell>
        </row>
        <row r="339">
          <cell r="A339" t="str">
            <v>Palm Bay Primary School</v>
          </cell>
        </row>
        <row r="340">
          <cell r="A340" t="str">
            <v>Palmarsh Primary School</v>
          </cell>
        </row>
        <row r="341">
          <cell r="A341" t="str">
            <v>Park Way Primary School</v>
          </cell>
        </row>
        <row r="342">
          <cell r="A342" t="str">
            <v>Parkside Community Primary School</v>
          </cell>
        </row>
        <row r="343">
          <cell r="A343" t="str">
            <v>Pembury School</v>
          </cell>
        </row>
        <row r="344">
          <cell r="A344" t="str">
            <v>Penshurst CEP School</v>
          </cell>
        </row>
        <row r="345">
          <cell r="A345" t="str">
            <v>Pent Valley Technology College</v>
          </cell>
        </row>
        <row r="346">
          <cell r="A346" t="str">
            <v>Petham Primary School</v>
          </cell>
        </row>
        <row r="347">
          <cell r="A347" t="str">
            <v>Phoenix Community Primary School</v>
          </cell>
        </row>
        <row r="348">
          <cell r="A348" t="str">
            <v>Phoenix Junior Academy</v>
          </cell>
        </row>
        <row r="349">
          <cell r="A349" t="str">
            <v>Pilgrims' Way Primary School</v>
          </cell>
        </row>
        <row r="350">
          <cell r="A350" t="str">
            <v>Platt CEP School</v>
          </cell>
        </row>
        <row r="351">
          <cell r="A351" t="str">
            <v>Platts Heath Primary School</v>
          </cell>
        </row>
        <row r="352">
          <cell r="A352" t="str">
            <v>Plaxtol Primary School</v>
          </cell>
        </row>
        <row r="353">
          <cell r="A353" t="str">
            <v>Pluckley CEP School</v>
          </cell>
        </row>
        <row r="354">
          <cell r="A354" t="str">
            <v>Portal House School</v>
          </cell>
        </row>
        <row r="355">
          <cell r="A355" t="str">
            <v>Preston Primary School</v>
          </cell>
        </row>
        <row r="356">
          <cell r="A356" t="str">
            <v>Priory Fields School</v>
          </cell>
        </row>
        <row r="357">
          <cell r="A357" t="str">
            <v>Priory Infant School</v>
          </cell>
        </row>
        <row r="358">
          <cell r="A358" t="str">
            <v>Queen Elizabeth's Grammar School</v>
          </cell>
        </row>
        <row r="359">
          <cell r="A359" t="str">
            <v>Queenborough School and Nursery</v>
          </cell>
        </row>
        <row r="360">
          <cell r="A360" t="str">
            <v>Raynehurst Primary School</v>
          </cell>
        </row>
        <row r="361">
          <cell r="A361" t="str">
            <v>Reculver CEP School</v>
          </cell>
        </row>
        <row r="362">
          <cell r="A362" t="str">
            <v>Regis Manor Primary School </v>
          </cell>
        </row>
        <row r="363">
          <cell r="A363" t="str">
            <v>Repton Manor Primary School </v>
          </cell>
        </row>
        <row r="364">
          <cell r="A364" t="str">
            <v>Richmond Primary School</v>
          </cell>
        </row>
        <row r="365">
          <cell r="A365" t="str">
            <v>Ridge View School</v>
          </cell>
        </row>
        <row r="366">
          <cell r="A366" t="str">
            <v>River Primary School</v>
          </cell>
        </row>
        <row r="367">
          <cell r="A367" t="str">
            <v>Riverhead Infant School</v>
          </cell>
        </row>
        <row r="368">
          <cell r="A368" t="str">
            <v>Riverview Infant School</v>
          </cell>
        </row>
        <row r="369">
          <cell r="A369" t="str">
            <v>Riverview Junior School</v>
          </cell>
        </row>
        <row r="370">
          <cell r="A370" t="str">
            <v>Robert Napier School, The</v>
          </cell>
        </row>
        <row r="371">
          <cell r="A371" t="str">
            <v>Rodmersham School</v>
          </cell>
        </row>
        <row r="372">
          <cell r="A372" t="str">
            <v>Rolvenden Primary School</v>
          </cell>
        </row>
        <row r="373">
          <cell r="A373" t="str">
            <v>Rose Street School</v>
          </cell>
        </row>
        <row r="374">
          <cell r="A374" t="str">
            <v>Roseacre Junior School</v>
          </cell>
        </row>
        <row r="375">
          <cell r="A375" t="str">
            <v>Rosherville C of E Primary School</v>
          </cell>
        </row>
        <row r="376">
          <cell r="A376" t="str">
            <v>Rowhill School</v>
          </cell>
        </row>
        <row r="377">
          <cell r="A377" t="str">
            <v>Rusthall St Paul's CEP School</v>
          </cell>
        </row>
        <row r="378">
          <cell r="A378" t="str">
            <v>Ryarsh Primary School</v>
          </cell>
        </row>
        <row r="379">
          <cell r="A379" t="str">
            <v>Saint George's CE School</v>
          </cell>
        </row>
        <row r="380">
          <cell r="A380" t="str">
            <v>Salmestone Primary School</v>
          </cell>
        </row>
        <row r="381">
          <cell r="A381" t="str">
            <v>Saltwood CEP School</v>
          </cell>
        </row>
        <row r="382">
          <cell r="A382" t="str">
            <v>Sandgate Primary School</v>
          </cell>
        </row>
        <row r="383">
          <cell r="A383" t="str">
            <v>Sandhurst Primary School</v>
          </cell>
        </row>
        <row r="384">
          <cell r="A384" t="str">
            <v>Sandling Primary School</v>
          </cell>
        </row>
        <row r="385">
          <cell r="A385" t="str">
            <v>Sandown School</v>
          </cell>
        </row>
        <row r="386">
          <cell r="A386" t="str">
            <v>Sandwich Infant School</v>
          </cell>
        </row>
        <row r="387">
          <cell r="A387" t="str">
            <v>Sandwich Junior School</v>
          </cell>
        </row>
        <row r="388">
          <cell r="A388" t="str">
            <v>Sandwich Technology School</v>
          </cell>
        </row>
        <row r="389">
          <cell r="A389" t="str">
            <v>Seabrook CEP School</v>
          </cell>
        </row>
        <row r="390">
          <cell r="A390" t="str">
            <v>Seal CEP School</v>
          </cell>
        </row>
        <row r="391">
          <cell r="A391" t="str">
            <v>Sedley's CEP School</v>
          </cell>
        </row>
        <row r="392">
          <cell r="A392" t="str">
            <v>Sellindge Primary School</v>
          </cell>
        </row>
        <row r="393">
          <cell r="A393" t="str">
            <v>Selsted CEP School</v>
          </cell>
        </row>
        <row r="394">
          <cell r="A394" t="str">
            <v>Senacre Wood Primary School</v>
          </cell>
        </row>
        <row r="395">
          <cell r="A395" t="str">
            <v>Sevenoaks Primary School</v>
          </cell>
        </row>
        <row r="396">
          <cell r="A396" t="str">
            <v>Shatterlocks Infant School</v>
          </cell>
        </row>
        <row r="397">
          <cell r="A397" t="str">
            <v>Shears Green Infant School</v>
          </cell>
        </row>
        <row r="398">
          <cell r="A398" t="str">
            <v>Shears Green Junior School</v>
          </cell>
        </row>
        <row r="399">
          <cell r="A399" t="str">
            <v>Sheldwich Primary School</v>
          </cell>
        </row>
        <row r="400">
          <cell r="A400" t="str">
            <v>Shipbourne School</v>
          </cell>
        </row>
        <row r="401">
          <cell r="A401" t="str">
            <v>Sholden CEP School</v>
          </cell>
        </row>
        <row r="402">
          <cell r="A402" t="str">
            <v>Shoreham Village School</v>
          </cell>
        </row>
        <row r="403">
          <cell r="A403" t="str">
            <v>Shorne CE (VC) Primary School</v>
          </cell>
        </row>
        <row r="404">
          <cell r="A404" t="str">
            <v>Sibertswold CEP School</v>
          </cell>
        </row>
        <row r="405">
          <cell r="A405" t="str">
            <v>Simon Langton Girls' Grammar School</v>
          </cell>
        </row>
        <row r="406">
          <cell r="A406" t="str">
            <v>Simon Langton Grammar School for Boys</v>
          </cell>
        </row>
        <row r="407">
          <cell r="A407" t="str">
            <v>Singlewell Primary School</v>
          </cell>
        </row>
        <row r="408">
          <cell r="A408" t="str">
            <v>Sir Joseph Williamson's Mathematical School</v>
          </cell>
        </row>
        <row r="409">
          <cell r="A409" t="str">
            <v>Sir Roger Manwood's School</v>
          </cell>
        </row>
        <row r="410">
          <cell r="A410" t="str">
            <v>Sissinghurst CEP School</v>
          </cell>
        </row>
        <row r="411">
          <cell r="A411" t="str">
            <v>Sittingbourne Community College</v>
          </cell>
        </row>
        <row r="412">
          <cell r="A412" t="str">
            <v>Skinners' Kent Academy</v>
          </cell>
        </row>
        <row r="413">
          <cell r="A413" t="str">
            <v>Skinners' School, The</v>
          </cell>
        </row>
        <row r="414">
          <cell r="A414" t="str">
            <v>Slade Primary School</v>
          </cell>
        </row>
        <row r="415">
          <cell r="A415" t="str">
            <v>Smarden Primary School</v>
          </cell>
        </row>
        <row r="416">
          <cell r="A416" t="str">
            <v>Smeeth Community Primary School</v>
          </cell>
        </row>
        <row r="417">
          <cell r="A417" t="str">
            <v>Snodland CEP School</v>
          </cell>
        </row>
        <row r="418">
          <cell r="A418" t="str">
            <v>South Avenue Infant School</v>
          </cell>
        </row>
        <row r="419">
          <cell r="A419" t="str">
            <v>South Avenue Junior School</v>
          </cell>
        </row>
        <row r="420">
          <cell r="A420" t="str">
            <v>South Borough Primary School (Maidstone)</v>
          </cell>
        </row>
        <row r="421">
          <cell r="A421" t="str">
            <v>Southborough CEP School (Tunbridge Wells)</v>
          </cell>
        </row>
        <row r="422">
          <cell r="A422" t="str">
            <v>Speldhurst CEP School</v>
          </cell>
        </row>
        <row r="423">
          <cell r="A423" t="str">
            <v>Spires Academy</v>
          </cell>
        </row>
        <row r="424">
          <cell r="A424" t="str">
            <v>St Albans Road Infant School</v>
          </cell>
        </row>
        <row r="425">
          <cell r="A425" t="str">
            <v>St Alphege CE Infant School</v>
          </cell>
        </row>
        <row r="426">
          <cell r="A426" t="str">
            <v>St Anselm's Catholic Primary School, Dartford</v>
          </cell>
        </row>
        <row r="427">
          <cell r="A427" t="str">
            <v>St Anselm's Catholic School, Canterbury</v>
          </cell>
        </row>
        <row r="428">
          <cell r="A428" t="str">
            <v>St Anthony's School</v>
          </cell>
        </row>
        <row r="429">
          <cell r="A429" t="str">
            <v>St Augustine Academy</v>
          </cell>
        </row>
        <row r="430">
          <cell r="A430" t="str">
            <v>St Augustine's Catholic Primary School, Hythe</v>
          </cell>
        </row>
        <row r="431">
          <cell r="A431" t="str">
            <v>St Augustine's Catholic Primary School, Tun Wells</v>
          </cell>
        </row>
        <row r="432">
          <cell r="A432" t="str">
            <v>St Barnabas CEP School</v>
          </cell>
        </row>
        <row r="433">
          <cell r="A433" t="str">
            <v>St Bartholomew's Catholic Primary School</v>
          </cell>
        </row>
        <row r="434">
          <cell r="A434" t="str">
            <v>St Botolph's CEP School</v>
          </cell>
        </row>
        <row r="435">
          <cell r="A435" t="str">
            <v>St Crispin's Community Primary Infant School</v>
          </cell>
        </row>
        <row r="436">
          <cell r="A436" t="str">
            <v>St Eanswythe's CEP School</v>
          </cell>
        </row>
        <row r="437">
          <cell r="A437" t="str">
            <v>St Edmund's Catholic School, Dover</v>
          </cell>
        </row>
        <row r="438">
          <cell r="A438" t="str">
            <v>St Edward's RCP School, Sheerness</v>
          </cell>
        </row>
        <row r="439">
          <cell r="A439" t="str">
            <v>St Ethelbert's Catholic Primary School</v>
          </cell>
        </row>
        <row r="440">
          <cell r="A440" t="str">
            <v>St Francis' Catholic School, Maidstone</v>
          </cell>
        </row>
        <row r="441">
          <cell r="A441" t="str">
            <v>St George's CE Foundation School</v>
          </cell>
        </row>
        <row r="442">
          <cell r="A442" t="str">
            <v>St George's CEP School, Minster</v>
          </cell>
        </row>
        <row r="443">
          <cell r="A443" t="str">
            <v>St George's CEP School, Wrotham</v>
          </cell>
        </row>
        <row r="444">
          <cell r="A444" t="str">
            <v>St Gregory's Catholic Comprehensive School, Tun Wells</v>
          </cell>
        </row>
        <row r="445">
          <cell r="A445" t="str">
            <v>St Gregory's Catholic Primary School, Margate</v>
          </cell>
        </row>
        <row r="446">
          <cell r="A446" t="str">
            <v>St James' CE Infant School</v>
          </cell>
        </row>
        <row r="447">
          <cell r="A447" t="str">
            <v>St James' CE Junior School</v>
          </cell>
        </row>
        <row r="448">
          <cell r="A448" t="str">
            <v>St James the Great Academy</v>
          </cell>
        </row>
        <row r="449">
          <cell r="A449" t="str">
            <v>St John's Catholic Comprehensive School</v>
          </cell>
        </row>
        <row r="450">
          <cell r="A450" t="str">
            <v>St John's Catholic Primary School, Gravesend</v>
          </cell>
        </row>
        <row r="451">
          <cell r="A451" t="str">
            <v>St John's CE Primary, Canterbury</v>
          </cell>
        </row>
        <row r="452">
          <cell r="A452" t="str">
            <v>St John's CEP School, Maidstone</v>
          </cell>
        </row>
        <row r="453">
          <cell r="A453" t="str">
            <v>St John's CEP School, Sevenoaks</v>
          </cell>
        </row>
        <row r="454">
          <cell r="A454" t="str">
            <v>St John's CEP School, Tun Wells</v>
          </cell>
        </row>
        <row r="455">
          <cell r="A455" t="str">
            <v>St Joseph's Catholic Primary School, Aylesham</v>
          </cell>
        </row>
        <row r="456">
          <cell r="A456" t="str">
            <v>St Joseph's Catholic Primary School, Broadstairs</v>
          </cell>
        </row>
        <row r="457">
          <cell r="A457" t="str">
            <v>St Joseph's Catholic Primary School, Northfleet</v>
          </cell>
        </row>
        <row r="458">
          <cell r="A458" t="str">
            <v>St Katharine's Knockholt CEP School</v>
          </cell>
        </row>
        <row r="459">
          <cell r="A459" t="str">
            <v>St Katherine's School, Snodland</v>
          </cell>
        </row>
        <row r="460">
          <cell r="A460" t="str">
            <v>St Laurence-In-Thanet CE Junior Academy</v>
          </cell>
        </row>
        <row r="461">
          <cell r="A461" t="str">
            <v>St Lawrence CEP School</v>
          </cell>
        </row>
        <row r="462">
          <cell r="A462" t="str">
            <v>St Margaret Clitherow Catholic Primary School</v>
          </cell>
        </row>
        <row r="463">
          <cell r="A463" t="str">
            <v>St Margaret's Collier Street CEP School</v>
          </cell>
        </row>
        <row r="464">
          <cell r="A464" t="str">
            <v>St Margaret's-at-Cliffe Primary School</v>
          </cell>
        </row>
        <row r="465">
          <cell r="A465" t="str">
            <v>St Mark's CEP School, Eccles</v>
          </cell>
        </row>
        <row r="466">
          <cell r="A466" t="str">
            <v>St Mark's CEP School, Tun Wells</v>
          </cell>
        </row>
        <row r="467">
          <cell r="A467" t="str">
            <v>St Martin's CEP School, Folkestone</v>
          </cell>
        </row>
        <row r="468">
          <cell r="A468" t="str">
            <v>St Martin's School, Dover</v>
          </cell>
        </row>
        <row r="469">
          <cell r="A469" t="str">
            <v>St Mary of Charity CEP School</v>
          </cell>
        </row>
        <row r="470">
          <cell r="A470" t="str">
            <v>St Mary's Catholic Primary School, Whitstable</v>
          </cell>
        </row>
        <row r="471">
          <cell r="A471" t="str">
            <v>St Mary's Catholic School, Deal</v>
          </cell>
        </row>
        <row r="472">
          <cell r="A472" t="str">
            <v>St Mary's CEP School, Ashford</v>
          </cell>
        </row>
        <row r="473">
          <cell r="A473" t="str">
            <v>St Mary's CEP School, Chilham</v>
          </cell>
        </row>
        <row r="474">
          <cell r="A474" t="str">
            <v>St Mary's CEP School, Dover</v>
          </cell>
        </row>
        <row r="475">
          <cell r="A475" t="str">
            <v>St Mary's CEP School, Folkestone</v>
          </cell>
        </row>
        <row r="476">
          <cell r="A476" t="str">
            <v>St Mary's CEP School, Swanley</v>
          </cell>
        </row>
        <row r="477">
          <cell r="A477" t="str">
            <v>St Matthew's High Brooms CEP School</v>
          </cell>
        </row>
        <row r="478">
          <cell r="A478" t="str">
            <v>St Michael's CE Infant School, Maidstone</v>
          </cell>
        </row>
        <row r="479">
          <cell r="A479" t="str">
            <v>St Michael's CE Junior School, Maidstone</v>
          </cell>
        </row>
        <row r="480">
          <cell r="A480" t="str">
            <v>St Michael's CEP School, Tenterden</v>
          </cell>
        </row>
        <row r="481">
          <cell r="A481" t="str">
            <v>St Mildred's Primary Infant School</v>
          </cell>
        </row>
        <row r="482">
          <cell r="A482" t="str">
            <v>St Nicholas At Wade CEP School</v>
          </cell>
        </row>
        <row r="483">
          <cell r="A483" t="str">
            <v>St Nicholas CEP School, New Romney</v>
          </cell>
        </row>
        <row r="484">
          <cell r="A484" t="str">
            <v>St Nicholas' School, Canterbury</v>
          </cell>
        </row>
        <row r="485">
          <cell r="A485" t="str">
            <v>St Paul's CEP School, Swanley</v>
          </cell>
        </row>
        <row r="486">
          <cell r="A486" t="str">
            <v>St Paul's Infant School, Maidstone</v>
          </cell>
        </row>
        <row r="487">
          <cell r="A487" t="str">
            <v>St Peter and St Paul CEP School, Leybourne</v>
          </cell>
        </row>
        <row r="488">
          <cell r="A488" t="str">
            <v>St Peter and St Paul CEP School, Yalding </v>
          </cell>
        </row>
        <row r="489">
          <cell r="A489" t="str">
            <v>St Peter-in-Thanet CE Junior School</v>
          </cell>
        </row>
        <row r="490">
          <cell r="A490" t="str">
            <v>St Peter's C of E Primary School, Aylesford</v>
          </cell>
        </row>
        <row r="491">
          <cell r="A491" t="str">
            <v>St Peter's Catholic Primary School, Sittingbourne </v>
          </cell>
        </row>
        <row r="492">
          <cell r="A492" t="str">
            <v>St Peter's CEP School, Folkestone</v>
          </cell>
        </row>
        <row r="493">
          <cell r="A493" t="str">
            <v>St Peter's CEP School, Tun Wells</v>
          </cell>
        </row>
        <row r="494">
          <cell r="A494" t="str">
            <v>St Peter's Methodist Primary School, Canterbury</v>
          </cell>
        </row>
        <row r="495">
          <cell r="A495" t="str">
            <v>St Philip Howard Catholic Primary School</v>
          </cell>
        </row>
        <row r="496">
          <cell r="A496" t="str">
            <v>St Richard's Catholic Primary School, Dover</v>
          </cell>
        </row>
        <row r="497">
          <cell r="A497" t="str">
            <v>St Saviour's CE Junior School</v>
          </cell>
        </row>
        <row r="498">
          <cell r="A498" t="str">
            <v>St Simon of England RCP School, Ashford</v>
          </cell>
        </row>
        <row r="499">
          <cell r="A499" t="str">
            <v>St Simon Stock Catholic School</v>
          </cell>
        </row>
        <row r="500">
          <cell r="A500" t="str">
            <v>St Stephen's (Tonbridge) Primary School</v>
          </cell>
        </row>
        <row r="501">
          <cell r="A501" t="str">
            <v>St Stephen's Infant School</v>
          </cell>
        </row>
        <row r="502">
          <cell r="A502" t="str">
            <v>St Stephen's Junior School</v>
          </cell>
        </row>
        <row r="503">
          <cell r="A503" t="str">
            <v>St Teresa's Catholic Primary School, Ashford</v>
          </cell>
        </row>
        <row r="504">
          <cell r="A504" t="str">
            <v>St Thomas' Catholic Primary School, Canterbury</v>
          </cell>
        </row>
        <row r="505">
          <cell r="A505" t="str">
            <v>St Thomas' Catholic Primary School, Sevenoaks</v>
          </cell>
        </row>
        <row r="506">
          <cell r="A506" t="str">
            <v>Stansted CEP School</v>
          </cell>
        </row>
        <row r="507">
          <cell r="A507" t="str">
            <v>Staplehurst School</v>
          </cell>
        </row>
        <row r="508">
          <cell r="A508" t="str">
            <v>Stella Maris Catholic Primary School, Folkestone</v>
          </cell>
        </row>
        <row r="509">
          <cell r="A509" t="str">
            <v>Stelling Minnis CEP School</v>
          </cell>
        </row>
        <row r="510">
          <cell r="A510" t="str">
            <v>Stocks Green Primary School</v>
          </cell>
        </row>
        <row r="511">
          <cell r="A511" t="str">
            <v>Stone Bay School</v>
          </cell>
        </row>
        <row r="512">
          <cell r="A512" t="str">
            <v>Stone St Mary's CEP School </v>
          </cell>
        </row>
        <row r="513">
          <cell r="A513" t="str">
            <v>Stowting CEP School</v>
          </cell>
        </row>
        <row r="514">
          <cell r="A514" t="str">
            <v>Strood Academy</v>
          </cell>
        </row>
        <row r="515">
          <cell r="A515" t="str">
            <v>Sturry CEP School</v>
          </cell>
        </row>
        <row r="516">
          <cell r="A516" t="str">
            <v>Sundridge and Brasted CEP School</v>
          </cell>
        </row>
        <row r="517">
          <cell r="A517" t="str">
            <v>Sussex Road Community Primary School</v>
          </cell>
        </row>
        <row r="518">
          <cell r="A518" t="str">
            <v>Sutton Valence Primary School</v>
          </cell>
        </row>
        <row r="519">
          <cell r="A519" t="str">
            <v>Sutton-at-Hone CEP School</v>
          </cell>
        </row>
        <row r="520">
          <cell r="A520" t="str">
            <v>Swadelands School</v>
          </cell>
        </row>
        <row r="521">
          <cell r="A521" t="str">
            <v>Swalecliffe Community Primary School</v>
          </cell>
        </row>
        <row r="522">
          <cell r="A522" t="str">
            <v>Swan Valley Community School</v>
          </cell>
        </row>
        <row r="523">
          <cell r="A523" t="str">
            <v>Temple Ewell CEP School</v>
          </cell>
        </row>
        <row r="524">
          <cell r="A524" t="str">
            <v>Temple Grove Academy</v>
          </cell>
        </row>
        <row r="525">
          <cell r="A525" t="str">
            <v>Temple Hill Community Primary School &amp; Nursery</v>
          </cell>
        </row>
        <row r="526">
          <cell r="A526" t="str">
            <v>Tenterden CE Junior School</v>
          </cell>
        </row>
        <row r="527">
          <cell r="A527" t="str">
            <v>Tenterden Infant School</v>
          </cell>
        </row>
        <row r="528">
          <cell r="A528" t="str">
            <v>Teynham Parochial CEP School</v>
          </cell>
        </row>
        <row r="529">
          <cell r="A529" t="str">
            <v>Thamesview School</v>
          </cell>
        </row>
        <row r="530">
          <cell r="A530" t="str">
            <v>The Hundred of Hoo School (Academy)</v>
          </cell>
        </row>
        <row r="531">
          <cell r="A531" t="str">
            <v>The Rochester Grammar School</v>
          </cell>
        </row>
        <row r="532">
          <cell r="A532" t="str">
            <v>Thurnham CE Infant School</v>
          </cell>
        </row>
        <row r="533">
          <cell r="A533" t="str">
            <v>Tonbridge Grammar School</v>
          </cell>
        </row>
        <row r="534">
          <cell r="A534" t="str">
            <v>Towers School and Sixth Form Centre </v>
          </cell>
        </row>
        <row r="535">
          <cell r="A535" t="str">
            <v>Tree Tops Academy ( Prev Bell Wood Community Primary)</v>
          </cell>
        </row>
        <row r="536">
          <cell r="A536" t="str">
            <v>Trottiscliffe CEP School</v>
          </cell>
        </row>
        <row r="537">
          <cell r="A537" t="str">
            <v>Tunbridge Wells Girls' Grammar School</v>
          </cell>
        </row>
        <row r="538">
          <cell r="A538" t="str">
            <v>Tunbridge Wells Grammar School for Boys</v>
          </cell>
        </row>
        <row r="539">
          <cell r="A539" t="str">
            <v>Tunbury Primary School</v>
          </cell>
        </row>
        <row r="540">
          <cell r="A540" t="str">
            <v>Tunstall CEP School</v>
          </cell>
        </row>
        <row r="541">
          <cell r="A541" t="str">
            <v>Ulcombe CEP School</v>
          </cell>
        </row>
        <row r="542">
          <cell r="A542" t="str">
            <v>Upton Junior School</v>
          </cell>
        </row>
        <row r="543">
          <cell r="A543" t="str">
            <v>Ursuline College</v>
          </cell>
        </row>
        <row r="544">
          <cell r="A544" t="str">
            <v>Vale View Community School</v>
          </cell>
        </row>
        <row r="545">
          <cell r="A545" t="str">
            <v>Valence School</v>
          </cell>
        </row>
        <row r="546">
          <cell r="A546" t="str">
            <v>Valley Park School</v>
          </cell>
        </row>
        <row r="547">
          <cell r="A547" t="str">
            <v>Victoria Road Primary School</v>
          </cell>
        </row>
        <row r="548">
          <cell r="A548" t="str">
            <v>Vigo Village School</v>
          </cell>
        </row>
        <row r="549">
          <cell r="A549" t="str">
            <v>Village Academy, The - Lynsted and Norton School</v>
          </cell>
        </row>
        <row r="550">
          <cell r="A550" t="str">
            <v>Village Academy, The - Milstead and Frinsted CEP School</v>
          </cell>
        </row>
        <row r="551">
          <cell r="A551" t="str">
            <v>Village Academy, The - Selling CEP School</v>
          </cell>
        </row>
        <row r="552">
          <cell r="A552" t="str">
            <v>Walmer Science College</v>
          </cell>
        </row>
        <row r="553">
          <cell r="A553" t="str">
            <v>Warden House Primary School</v>
          </cell>
        </row>
        <row r="554">
          <cell r="A554" t="str">
            <v>Wateringbury CEP School</v>
          </cell>
        </row>
        <row r="555">
          <cell r="A555" t="str">
            <v>Weald Community Primary School</v>
          </cell>
        </row>
        <row r="556">
          <cell r="A556" t="str">
            <v>Weald of Kent Grammar School</v>
          </cell>
        </row>
        <row r="557">
          <cell r="A557" t="str">
            <v>Wentworth Primary School</v>
          </cell>
        </row>
        <row r="558">
          <cell r="A558" t="str">
            <v>West Borough Primary School</v>
          </cell>
        </row>
        <row r="559">
          <cell r="A559" t="str">
            <v>West Hill Primary School</v>
          </cell>
        </row>
        <row r="560">
          <cell r="A560" t="str">
            <v>West Kingsdown CEP School</v>
          </cell>
        </row>
        <row r="561">
          <cell r="A561" t="str">
            <v>West Malling CEP School</v>
          </cell>
        </row>
        <row r="562">
          <cell r="A562" t="str">
            <v>West Minster Primary School</v>
          </cell>
        </row>
        <row r="563">
          <cell r="A563" t="str">
            <v>Westcourt School</v>
          </cell>
        </row>
        <row r="564">
          <cell r="A564" t="str">
            <v>Westgate Primary School</v>
          </cell>
        </row>
        <row r="565">
          <cell r="A565" t="str">
            <v>Westlands Primary School, The</v>
          </cell>
        </row>
        <row r="566">
          <cell r="A566" t="str">
            <v>Westlands School, The</v>
          </cell>
        </row>
        <row r="567">
          <cell r="A567" t="str">
            <v>Westmeads Community Infant School</v>
          </cell>
        </row>
        <row r="568">
          <cell r="A568" t="str">
            <v>White Cliffs Primary College for the Arts</v>
          </cell>
        </row>
        <row r="569">
          <cell r="A569" t="str">
            <v>Whitehill Primary School</v>
          </cell>
        </row>
        <row r="570">
          <cell r="A570" t="str">
            <v>Whitfield and Aspen School</v>
          </cell>
        </row>
        <row r="571">
          <cell r="A571" t="str">
            <v>Whitstable and Seasalter Endowed CE Junior School</v>
          </cell>
        </row>
        <row r="572">
          <cell r="A572" t="str">
            <v>Whitstable Junior School</v>
          </cell>
        </row>
        <row r="573">
          <cell r="A573" t="str">
            <v>Wickhambreaux CEP School</v>
          </cell>
        </row>
        <row r="574">
          <cell r="A574" t="str">
            <v>Willesborough Infant School</v>
          </cell>
        </row>
        <row r="575">
          <cell r="A575" t="str">
            <v>Willesborough Junior School</v>
          </cell>
        </row>
        <row r="576">
          <cell r="A576" t="str">
            <v>Wilmington Academy</v>
          </cell>
        </row>
        <row r="577">
          <cell r="A577" t="str">
            <v>Wilmington Grammar School for Boys</v>
          </cell>
        </row>
        <row r="578">
          <cell r="A578" t="str">
            <v>Wilmington Grammar School for Girls</v>
          </cell>
        </row>
        <row r="579">
          <cell r="A579" t="str">
            <v>Wilmington Primary School</v>
          </cell>
        </row>
        <row r="580">
          <cell r="A580" t="str">
            <v>Wincheap Foundation Primary School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4"/>
  <sheetViews>
    <sheetView tabSelected="1" zoomScalePageLayoutView="0" workbookViewId="0" topLeftCell="B1">
      <selection activeCell="I14" sqref="I14"/>
    </sheetView>
  </sheetViews>
  <sheetFormatPr defaultColWidth="0" defaultRowHeight="15" zeroHeight="1"/>
  <cols>
    <col min="1" max="1" width="2.8515625" style="2" customWidth="1"/>
    <col min="2" max="2" width="2.140625" style="1" customWidth="1"/>
    <col min="3" max="3" width="27.00390625" style="1" customWidth="1"/>
    <col min="4" max="4" width="8.7109375" style="1" customWidth="1"/>
    <col min="5" max="5" width="15.57421875" style="1" customWidth="1"/>
    <col min="6" max="6" width="20.00390625" style="1" customWidth="1"/>
    <col min="7" max="7" width="9.140625" style="1" customWidth="1"/>
    <col min="8" max="8" width="12.140625" style="1" customWidth="1"/>
    <col min="9" max="9" width="2.140625" style="1" customWidth="1"/>
    <col min="10" max="10" width="2.8515625" style="207" customWidth="1"/>
    <col min="11" max="14" width="0" style="1" hidden="1" customWidth="1"/>
    <col min="15" max="16384" width="9.140625" style="1" hidden="1" customWidth="1"/>
  </cols>
  <sheetData>
    <row r="1" spans="1:10" s="2" customFormat="1" ht="12">
      <c r="A1" s="205"/>
      <c r="B1" s="207"/>
      <c r="C1" s="207"/>
      <c r="D1" s="207"/>
      <c r="E1" s="207"/>
      <c r="F1" s="207"/>
      <c r="G1" s="207"/>
      <c r="H1" s="207"/>
      <c r="I1" s="207"/>
      <c r="J1" s="207"/>
    </row>
    <row r="2" spans="1:8" ht="9" customHeight="1">
      <c r="A2" s="205"/>
      <c r="H2" s="304">
        <v>44136</v>
      </c>
    </row>
    <row r="3" spans="1:8" ht="45" customHeight="1">
      <c r="A3" s="205"/>
      <c r="C3" s="8"/>
      <c r="H3" s="9" t="s">
        <v>83</v>
      </c>
    </row>
    <row r="4" ht="15" customHeight="1">
      <c r="A4" s="205"/>
    </row>
    <row r="5" spans="1:8" ht="15" customHeight="1">
      <c r="A5" s="205"/>
      <c r="C5" s="3" t="s">
        <v>0</v>
      </c>
      <c r="D5" s="310"/>
      <c r="E5" s="311"/>
      <c r="F5" s="311"/>
      <c r="G5" s="311"/>
      <c r="H5" s="312"/>
    </row>
    <row r="6" spans="1:10" ht="3.75" customHeight="1">
      <c r="A6" s="205"/>
      <c r="B6" s="297"/>
      <c r="C6" s="200"/>
      <c r="D6" s="298"/>
      <c r="E6" s="298"/>
      <c r="F6" s="298"/>
      <c r="G6" s="298"/>
      <c r="H6" s="298"/>
      <c r="I6" s="297"/>
      <c r="J6" s="299"/>
    </row>
    <row r="7" spans="1:10" ht="15" customHeight="1">
      <c r="A7" s="205"/>
      <c r="C7" s="3" t="s">
        <v>82</v>
      </c>
      <c r="D7" s="310"/>
      <c r="E7" s="312"/>
      <c r="F7" s="298"/>
      <c r="G7" s="298"/>
      <c r="H7" s="298"/>
      <c r="I7" s="297"/>
      <c r="J7" s="299"/>
    </row>
    <row r="8" spans="1:3" ht="3.75" customHeight="1">
      <c r="A8" s="205"/>
      <c r="C8" s="3"/>
    </row>
    <row r="9" spans="1:8" ht="15" customHeight="1">
      <c r="A9" s="205"/>
      <c r="C9" s="3" t="s">
        <v>1</v>
      </c>
      <c r="E9" s="310"/>
      <c r="F9" s="311"/>
      <c r="G9" s="311"/>
      <c r="H9" s="312"/>
    </row>
    <row r="10" spans="1:3" ht="3.75" customHeight="1">
      <c r="A10" s="205"/>
      <c r="C10" s="3"/>
    </row>
    <row r="11" spans="1:8" ht="15" customHeight="1">
      <c r="A11" s="205"/>
      <c r="C11" s="3" t="s">
        <v>2</v>
      </c>
      <c r="E11" s="310"/>
      <c r="F11" s="311"/>
      <c r="G11" s="311"/>
      <c r="H11" s="312"/>
    </row>
    <row r="12" ht="3.75" customHeight="1">
      <c r="A12" s="205"/>
    </row>
    <row r="13" spans="1:10" s="3" customFormat="1" ht="22.5" customHeight="1">
      <c r="A13" s="206"/>
      <c r="C13" s="3" t="s">
        <v>3</v>
      </c>
      <c r="G13" s="308" t="s">
        <v>150</v>
      </c>
      <c r="H13" s="309"/>
      <c r="J13" s="208"/>
    </row>
    <row r="14" spans="1:8" ht="52.5" customHeight="1">
      <c r="A14" s="205"/>
      <c r="C14" s="320" t="str">
        <f>IF(OR(G13="maternity (start)",G13="paternity (start)",G13="adoption (start)")," Please attach a copy of the MatB1 form (Maternities) or Matching Certificate (Adoptions). There is no need to attach payroll evidence at this stage.",IF(OR(G13="maternity (final claim)",G13="paternity",G13="adoption (final claim)"),"Payroll evidence to be attached. Please note IntePay customers do not need to submit payroll evidence. Please note for Paternity, MATB1 form must be attached",IF(OR(G13="public duties",G13="suspensions"),"Copy of supply claim to be attached, including invoices and payroll reports for cost of cover",IF(G13="jury service","Copy of 'Certificate of Attendance' from court to be attached",IF(G13="road crossing patrols","Please attach any invoices or supporting evidence relating to the claim","")))))</f>
        <v> Please attach a copy of the MatB1 form (Maternities) or Matching Certificate (Adoptions). There is no need to attach payroll evidence at this stage.</v>
      </c>
      <c r="D14" s="320"/>
      <c r="E14" s="320"/>
      <c r="F14" s="320"/>
      <c r="G14" s="320"/>
      <c r="H14" s="320"/>
    </row>
    <row r="15" spans="1:8" ht="15" customHeight="1">
      <c r="A15" s="205"/>
      <c r="C15" s="6" t="s">
        <v>14</v>
      </c>
      <c r="E15" s="5"/>
      <c r="F15" s="5"/>
      <c r="G15" s="5"/>
      <c r="H15" s="5"/>
    </row>
    <row r="16" spans="1:8" ht="15" customHeight="1">
      <c r="A16" s="205"/>
      <c r="E16" s="5"/>
      <c r="F16" s="5"/>
      <c r="G16" s="5"/>
      <c r="H16" s="5"/>
    </row>
    <row r="17" spans="1:10" s="3" customFormat="1" ht="12">
      <c r="A17" s="206"/>
      <c r="C17" s="3" t="s">
        <v>4</v>
      </c>
      <c r="E17" s="310"/>
      <c r="F17" s="311"/>
      <c r="G17" s="312"/>
      <c r="H17" s="4" t="str">
        <f>IF(E17="",(IF(OR($G$13="maternity (start)",$G$13="paternity",$G$13="adoption (start)",$G$13="maternity (final claim)",$G$13="paternity (final claim)",$G$13="adoption (final claim)",$G$13="public duties",$G$13="road crossing patrols",$G$13="suspensions",$G$13="jury service"),"Required","")),"")</f>
        <v>Required</v>
      </c>
      <c r="J17" s="208"/>
    </row>
    <row r="18" spans="1:10" s="3" customFormat="1" ht="3.75" customHeight="1">
      <c r="A18" s="206"/>
      <c r="J18" s="208"/>
    </row>
    <row r="19" spans="1:10" s="3" customFormat="1" ht="15" customHeight="1">
      <c r="A19" s="206"/>
      <c r="C19" s="3" t="s">
        <v>79</v>
      </c>
      <c r="E19" s="310"/>
      <c r="F19" s="311"/>
      <c r="G19" s="312"/>
      <c r="H19" s="4" t="str">
        <f>IF(E19="",(IF(OR($G$13="maternity (start)",$G$13="paternity",$G$13="adoption (start)",$G$13="maternity (final claim)",$G$13="paternity (final claim)",$G$13="adoption (final claim)",$G$13="public duties",$G$13="road crossing patrols",$G$13="suspensions",$G$13="jury service"),"Required","")),"")</f>
        <v>Required</v>
      </c>
      <c r="J19" s="208"/>
    </row>
    <row r="20" spans="1:10" s="3" customFormat="1" ht="3.75" customHeight="1">
      <c r="A20" s="206"/>
      <c r="J20" s="208"/>
    </row>
    <row r="21" spans="1:10" s="3" customFormat="1" ht="12">
      <c r="A21" s="206"/>
      <c r="C21" s="3" t="s">
        <v>10</v>
      </c>
      <c r="E21" s="313"/>
      <c r="F21" s="314"/>
      <c r="G21" s="4" t="str">
        <f>IF(E21="",(IF(OR($G$13="maternity (start)",$G$13="paternity",$G$13="adoption (start)",$G$13="maternity (final claim)",$G$13="paternity (final claim)",$G$13="adoption (final claim)",$G$13="public duties",$G$13="suspensions",$G$13="jury service"),"Required","")),"")</f>
        <v>Required</v>
      </c>
      <c r="J21" s="208"/>
    </row>
    <row r="22" spans="1:10" s="3" customFormat="1" ht="3.75" customHeight="1">
      <c r="A22" s="206"/>
      <c r="G22" s="4"/>
      <c r="J22" s="208"/>
    </row>
    <row r="23" spans="1:10" s="3" customFormat="1" ht="15" customHeight="1">
      <c r="A23" s="206"/>
      <c r="C23" s="3" t="s">
        <v>11</v>
      </c>
      <c r="E23" s="313"/>
      <c r="F23" s="314"/>
      <c r="G23" s="4">
        <f>IF(E23="",(IF(OR($G$13="maternity (final claim)",$G$13="paternity",$G$13="adoption (final claim)",$G$13="public duties",$G$13="suspensions",$G$13="jury service"),"Required","")),"")</f>
      </c>
      <c r="J23" s="208"/>
    </row>
    <row r="24" spans="1:10" s="3" customFormat="1" ht="3.75" customHeight="1">
      <c r="A24" s="206"/>
      <c r="G24" s="4"/>
      <c r="J24" s="208"/>
    </row>
    <row r="25" spans="1:10" s="3" customFormat="1" ht="15" customHeight="1">
      <c r="A25" s="206"/>
      <c r="C25" s="3" t="s">
        <v>13</v>
      </c>
      <c r="E25" s="306"/>
      <c r="F25" s="307"/>
      <c r="G25" s="4" t="str">
        <f>IF(E25="",(IF(OR($G$13="maternity (start)",$G$13="adoption (start)",$G$13="Maternity (Final Claim)",$G$13="Adoption (Final Claim)"),"Required","")),"")</f>
        <v>Required</v>
      </c>
      <c r="H25" s="4"/>
      <c r="J25" s="208"/>
    </row>
    <row r="26" ht="9" customHeight="1">
      <c r="A26" s="205"/>
    </row>
    <row r="27" spans="1:3" ht="16.5" customHeight="1">
      <c r="A27" s="205"/>
      <c r="C27" s="302" t="s">
        <v>148</v>
      </c>
    </row>
    <row r="28" ht="6.75" customHeight="1">
      <c r="A28" s="205"/>
    </row>
    <row r="29" spans="1:7" ht="30" customHeight="1">
      <c r="A29" s="205"/>
      <c r="C29" s="301" t="s">
        <v>136</v>
      </c>
      <c r="E29" s="321"/>
      <c r="F29" s="322"/>
      <c r="G29" s="4" t="str">
        <f>IF(E29="",(IF(OR($G$13="maternity (start)",$G$13="paternity",$G$13="adoption (start)"),"Required","")),"")</f>
        <v>Required</v>
      </c>
    </row>
    <row r="30" ht="5.25" customHeight="1">
      <c r="A30" s="205"/>
    </row>
    <row r="31" spans="1:7" ht="30" customHeight="1">
      <c r="A31" s="205"/>
      <c r="C31" s="301" t="s">
        <v>137</v>
      </c>
      <c r="E31" s="321"/>
      <c r="F31" s="322"/>
      <c r="G31" s="4" t="str">
        <f>IF(E31="",(IF(OR($G$13="maternity (start)",$G$13="paternity",$G$13="adoption (start)"),"Required","")),"")</f>
        <v>Required</v>
      </c>
    </row>
    <row r="32" spans="1:10" s="3" customFormat="1" ht="9.75" customHeight="1">
      <c r="A32" s="206"/>
      <c r="G32" s="4"/>
      <c r="J32" s="208"/>
    </row>
    <row r="33" spans="1:10" s="3" customFormat="1" ht="12">
      <c r="A33" s="206"/>
      <c r="C33" s="3" t="s">
        <v>5</v>
      </c>
      <c r="E33" s="310"/>
      <c r="F33" s="312"/>
      <c r="G33" s="4" t="str">
        <f>IF(E33="",(IF(OR($G$13="maternity (start)",$G$13="paternity",$G$13="adoption (start)",$G$13="maternity (final claim)",$G$13="adoption (final claim)",$G$13="public duties",$G$13="suspensions",$G$13="jury service"),"Required","")),"")</f>
        <v>Required</v>
      </c>
      <c r="J33" s="208"/>
    </row>
    <row r="34" spans="1:10" s="3" customFormat="1" ht="3.75" customHeight="1">
      <c r="A34" s="206"/>
      <c r="G34" s="4"/>
      <c r="J34" s="208"/>
    </row>
    <row r="35" spans="1:10" s="3" customFormat="1" ht="12">
      <c r="A35" s="206"/>
      <c r="C35" s="3" t="s">
        <v>6</v>
      </c>
      <c r="E35" s="310"/>
      <c r="F35" s="312"/>
      <c r="G35" s="4" t="str">
        <f>IF(E35="",(IF(OR($G$13="maternity (start)",$G$13="paternity",$G$13="adoption (start)",$G$13="public duties",$G$13="suspensions",$G$13="jury service"),"Required","")),"")</f>
        <v>Required</v>
      </c>
      <c r="J35" s="208"/>
    </row>
    <row r="36" spans="1:10" s="3" customFormat="1" ht="3.75" customHeight="1">
      <c r="A36" s="206"/>
      <c r="D36" s="200"/>
      <c r="E36" s="201"/>
      <c r="F36" s="201"/>
      <c r="G36" s="4"/>
      <c r="J36" s="208"/>
    </row>
    <row r="37" spans="1:10" s="3" customFormat="1" ht="12">
      <c r="A37" s="206"/>
      <c r="C37" s="3" t="s">
        <v>7</v>
      </c>
      <c r="F37" s="10"/>
      <c r="G37" s="4" t="str">
        <f>IF(AND(F37="",E35&lt;&gt;"Full Time"),(IF(OR($G$13="maternity (start)",$G$13="paternity",$G$13="adoption (start)",$G$13="public duties",$G$13="suspensions",$G$13="jury service"),"Required","")),"")</f>
        <v>Required</v>
      </c>
      <c r="J37" s="208"/>
    </row>
    <row r="38" spans="1:10" s="3" customFormat="1" ht="3.75" customHeight="1">
      <c r="A38" s="206"/>
      <c r="G38" s="4"/>
      <c r="J38" s="208"/>
    </row>
    <row r="39" spans="1:10" s="3" customFormat="1" ht="12">
      <c r="A39" s="206"/>
      <c r="C39" s="3" t="s">
        <v>8</v>
      </c>
      <c r="F39" s="10"/>
      <c r="G39" s="4" t="str">
        <f>IF(AND(F39="",E33&lt;&gt;"Teacher"),(IF(OR($G$13="maternity (start)",$G$13="paternity",$G$13="adoption (start)",$G$13="public duties",$G$13="suspensions",$G$13="jury service"),"Required","")),"")</f>
        <v>Required</v>
      </c>
      <c r="J39" s="208"/>
    </row>
    <row r="40" spans="1:10" s="3" customFormat="1" ht="3.75" customHeight="1">
      <c r="A40" s="206"/>
      <c r="F40" s="203"/>
      <c r="G40" s="4"/>
      <c r="J40" s="208"/>
    </row>
    <row r="41" spans="1:10" s="3" customFormat="1" ht="12.75">
      <c r="A41" s="206"/>
      <c r="C41" s="3" t="s">
        <v>84</v>
      </c>
      <c r="E41" s="209" t="s">
        <v>85</v>
      </c>
      <c r="F41" s="210"/>
      <c r="G41" s="4">
        <f>IF(F41="",(IF(AND(G$13="Jury Service",OR(E$35="Part time",E$35="")),"Required","")),"")</f>
      </c>
      <c r="J41" s="208"/>
    </row>
    <row r="42" spans="1:10" s="3" customFormat="1" ht="12.75">
      <c r="A42" s="206"/>
      <c r="E42" s="209" t="s">
        <v>86</v>
      </c>
      <c r="F42" s="210"/>
      <c r="G42" s="4">
        <f aca="true" t="shared" si="0" ref="G42:G47">IF(F42="",(IF(AND(G$13="Jury Service",OR(E$35="Part time",E$35="")),"Required","")),"")</f>
      </c>
      <c r="H42" s="204"/>
      <c r="J42" s="208"/>
    </row>
    <row r="43" spans="1:10" s="3" customFormat="1" ht="12.75">
      <c r="A43" s="206"/>
      <c r="E43" s="209" t="s">
        <v>87</v>
      </c>
      <c r="F43" s="210"/>
      <c r="G43" s="4">
        <f t="shared" si="0"/>
      </c>
      <c r="H43" s="204"/>
      <c r="J43" s="208"/>
    </row>
    <row r="44" spans="1:10" s="3" customFormat="1" ht="12.75">
      <c r="A44" s="206"/>
      <c r="E44" s="209" t="s">
        <v>88</v>
      </c>
      <c r="F44" s="210"/>
      <c r="G44" s="4">
        <f t="shared" si="0"/>
      </c>
      <c r="H44" s="204"/>
      <c r="J44" s="208"/>
    </row>
    <row r="45" spans="1:10" s="3" customFormat="1" ht="12.75">
      <c r="A45" s="206"/>
      <c r="E45" s="209" t="s">
        <v>89</v>
      </c>
      <c r="F45" s="210"/>
      <c r="G45" s="4">
        <f t="shared" si="0"/>
      </c>
      <c r="H45" s="204"/>
      <c r="J45" s="208"/>
    </row>
    <row r="46" spans="1:10" s="3" customFormat="1" ht="12.75">
      <c r="A46" s="206"/>
      <c r="E46" s="209" t="s">
        <v>90</v>
      </c>
      <c r="F46" s="210"/>
      <c r="G46" s="4">
        <f t="shared" si="0"/>
      </c>
      <c r="H46" s="204"/>
      <c r="J46" s="208"/>
    </row>
    <row r="47" spans="1:10" s="3" customFormat="1" ht="12.75">
      <c r="A47" s="206"/>
      <c r="E47" s="209" t="s">
        <v>91</v>
      </c>
      <c r="F47" s="210"/>
      <c r="G47" s="4">
        <f t="shared" si="0"/>
      </c>
      <c r="J47" s="208"/>
    </row>
    <row r="48" spans="1:10" s="3" customFormat="1" ht="3.75" customHeight="1">
      <c r="A48" s="206"/>
      <c r="G48" s="4"/>
      <c r="J48" s="208"/>
    </row>
    <row r="49" spans="1:10" s="3" customFormat="1" ht="12">
      <c r="A49" s="206"/>
      <c r="C49" s="3" t="s">
        <v>60</v>
      </c>
      <c r="E49" s="317">
        <f>IF(E33="Teacher",IF(E35="Full Time",1,(F37/32.5)),IF(E35="Full Time",1,(((1/365)*(F39*7))/37)*F37))</f>
        <v>0</v>
      </c>
      <c r="F49" s="318"/>
      <c r="G49" s="4"/>
      <c r="J49" s="208"/>
    </row>
    <row r="50" spans="1:10" s="3" customFormat="1" ht="3.75" customHeight="1">
      <c r="A50" s="206"/>
      <c r="J50" s="208"/>
    </row>
    <row r="51" spans="1:10" s="3" customFormat="1" ht="15" customHeight="1">
      <c r="A51" s="206"/>
      <c r="C51" s="3" t="s">
        <v>74</v>
      </c>
      <c r="D51" s="152"/>
      <c r="E51" s="315"/>
      <c r="F51" s="316"/>
      <c r="G51" s="4" t="str">
        <f>IF(E51="",(IF(OR($G$13="maternity (start)",$G$13="paternity",$G$13="adoption (start)",,$G$13="public duties",$G$13="suspensions",$G$13="jury service"),"Required","")),"")</f>
        <v>Required</v>
      </c>
      <c r="J51" s="208"/>
    </row>
    <row r="52" spans="1:10" s="3" customFormat="1" ht="3.75" customHeight="1">
      <c r="A52" s="206"/>
      <c r="J52" s="208"/>
    </row>
    <row r="53" spans="1:10" s="3" customFormat="1" ht="15" customHeight="1">
      <c r="A53" s="206"/>
      <c r="C53" s="3" t="s">
        <v>12</v>
      </c>
      <c r="E53" s="315"/>
      <c r="F53" s="316"/>
      <c r="G53" s="4" t="str">
        <f>IF(E53="",(IF(OR($G$13="maternity (start)",$G$13="paternity",$G$13="adoption (start)",$G$13="public duties",$G$13="suspensions",$G$13="jury service"),"Required","")),"")</f>
        <v>Required</v>
      </c>
      <c r="J53" s="208"/>
    </row>
    <row r="54" spans="1:10" s="3" customFormat="1" ht="3.75" customHeight="1">
      <c r="A54" s="206"/>
      <c r="J54" s="208"/>
    </row>
    <row r="55" spans="1:10" s="3" customFormat="1" ht="15" customHeight="1">
      <c r="A55" s="206"/>
      <c r="C55" s="3" t="s">
        <v>128</v>
      </c>
      <c r="F55" s="300"/>
      <c r="G55" s="4" t="str">
        <f>IF(F55="",(IF(OR($G$13="Maternity (Start)",$G$13="paternity",$G$13="adoption (start)",$G$13="Maternity (Final Claim)",$G$13="Adoption (Final Claim)",$G$13="jury service"),"Required","")),"")</f>
        <v>Required</v>
      </c>
      <c r="J55" s="208"/>
    </row>
    <row r="56" spans="1:10" s="3" customFormat="1" ht="30" customHeight="1">
      <c r="A56" s="206"/>
      <c r="C56" s="319" t="s">
        <v>80</v>
      </c>
      <c r="D56" s="319"/>
      <c r="E56" s="319"/>
      <c r="F56" s="319"/>
      <c r="G56" s="319"/>
      <c r="H56" s="319"/>
      <c r="J56" s="208"/>
    </row>
    <row r="57" spans="1:10" s="3" customFormat="1" ht="12">
      <c r="A57" s="206"/>
      <c r="C57" s="3" t="s">
        <v>9</v>
      </c>
      <c r="D57" s="310"/>
      <c r="E57" s="311"/>
      <c r="F57" s="312"/>
      <c r="G57" s="4" t="str">
        <f>IF(D57="",(IF(OR($G$13="maternity (start)",$G$13="paternity",$G$13="adoption (start)",$G$13="maternity (final claim)",$G$13="adoption (final claim)",$G$13="public duties",$G$13="road crossing patrols",$G$13="suspensions",$G$13="jury service"),"Required","")),"")</f>
        <v>Required</v>
      </c>
      <c r="J57" s="208"/>
    </row>
    <row r="58" spans="1:10" s="3" customFormat="1" ht="3.75" customHeight="1">
      <c r="A58" s="206"/>
      <c r="J58" s="208"/>
    </row>
    <row r="59" spans="1:10" s="3" customFormat="1" ht="12">
      <c r="A59" s="206"/>
      <c r="C59" s="3" t="s">
        <v>48</v>
      </c>
      <c r="D59" s="313"/>
      <c r="E59" s="314"/>
      <c r="F59" s="4" t="str">
        <f>IF(D59="",(IF(OR($G$13="maternity (start)",$G$13="paternity",$G$13="adoption (start)",$G$13="maternity (final claim)",$G$13="adoption (final claim)",$G$13="public duties",$G$13="road crossing patrols",$G$13="suspensions",$G$13="jury service"),"Required","")),"")</f>
        <v>Required</v>
      </c>
      <c r="J59" s="208"/>
    </row>
    <row r="60" ht="15" customHeight="1">
      <c r="A60" s="205"/>
    </row>
    <row r="61" spans="1:7" ht="12">
      <c r="A61" s="205"/>
      <c r="C61" s="305" t="s">
        <v>81</v>
      </c>
      <c r="D61" s="305"/>
      <c r="E61" s="305"/>
      <c r="F61" s="305"/>
      <c r="G61" s="202"/>
    </row>
    <row r="62" spans="1:7" ht="15" customHeight="1">
      <c r="A62" s="205"/>
      <c r="C62" s="305"/>
      <c r="D62" s="305"/>
      <c r="E62" s="305"/>
      <c r="F62" s="305"/>
      <c r="G62" s="202"/>
    </row>
    <row r="63" spans="1:3" ht="12">
      <c r="A63" s="205"/>
      <c r="C63" s="7"/>
    </row>
    <row r="64" spans="1:10" s="2" customFormat="1" ht="12">
      <c r="A64" s="205"/>
      <c r="B64" s="207"/>
      <c r="C64" s="207"/>
      <c r="D64" s="207"/>
      <c r="E64" s="207"/>
      <c r="F64" s="207"/>
      <c r="G64" s="207"/>
      <c r="H64" s="207"/>
      <c r="I64" s="207"/>
      <c r="J64" s="207"/>
    </row>
    <row r="65" ht="12" hidden="1"/>
    <row r="66" ht="12" hidden="1"/>
  </sheetData>
  <sheetProtection selectLockedCells="1"/>
  <mergeCells count="22">
    <mergeCell ref="D5:H5"/>
    <mergeCell ref="E9:H9"/>
    <mergeCell ref="E11:H11"/>
    <mergeCell ref="E23:F23"/>
    <mergeCell ref="E21:F21"/>
    <mergeCell ref="D7:E7"/>
    <mergeCell ref="E53:F53"/>
    <mergeCell ref="C56:H56"/>
    <mergeCell ref="C14:H14"/>
    <mergeCell ref="E29:F29"/>
    <mergeCell ref="E31:F31"/>
    <mergeCell ref="E19:G19"/>
    <mergeCell ref="C61:F62"/>
    <mergeCell ref="E25:F25"/>
    <mergeCell ref="G13:H13"/>
    <mergeCell ref="D57:F57"/>
    <mergeCell ref="D59:E59"/>
    <mergeCell ref="E33:F33"/>
    <mergeCell ref="E51:F51"/>
    <mergeCell ref="E49:F49"/>
    <mergeCell ref="E17:G17"/>
    <mergeCell ref="E35:F35"/>
  </mergeCells>
  <dataValidations count="16">
    <dataValidation type="decimal" allowBlank="1" showInputMessage="1" showErrorMessage="1" sqref="F37">
      <formula1>0</formula1>
      <formula2>168</formula2>
    </dataValidation>
    <dataValidation type="decimal" allowBlank="1" showInputMessage="1" showErrorMessage="1" sqref="F39:F40">
      <formula1>0</formula1>
      <formula2>52</formula2>
    </dataValidation>
    <dataValidation type="decimal" allowBlank="1" showInputMessage="1" showErrorMessage="1" sqref="E53">
      <formula1>0</formula1>
      <formula2>1000000</formula2>
    </dataValidation>
    <dataValidation allowBlank="1" showInputMessage="1" showErrorMessage="1" errorTitle="FTE" error="FTE must be between 0 and 1 (Full time)" sqref="E49:F49"/>
    <dataValidation type="list" allowBlank="1" showInputMessage="1" showErrorMessage="1" sqref="D51">
      <formula1>"Local Government Pension Scheme, Teachers Pension Scheme, None"</formula1>
    </dataValidation>
    <dataValidation type="list" allowBlank="1" showInputMessage="1" showErrorMessage="1" sqref="E51:F51">
      <formula1>"LGPS, TPS, None"</formula1>
    </dataValidation>
    <dataValidation type="list" allowBlank="1" showInputMessage="1" showErrorMessage="1" sqref="E26:F28">
      <formula1>"Will Return,May Return"</formula1>
    </dataValidation>
    <dataValidation type="list" allowBlank="1" showInputMessage="1" showErrorMessage="1" sqref="E33:F33">
      <formula1>"Teacher,Support Staff"</formula1>
    </dataValidation>
    <dataValidation type="list" allowBlank="1" showInputMessage="1" showErrorMessage="1" sqref="E35:F36">
      <formula1>"Full Time,Part Time"</formula1>
    </dataValidation>
    <dataValidation type="date" allowBlank="1" showInputMessage="1" showErrorMessage="1" sqref="E21:F21 E23:F23">
      <formula1>36526</formula1>
      <formula2>73050</formula2>
    </dataValidation>
    <dataValidation type="list" allowBlank="1" showInputMessage="1" showErrorMessage="1" sqref="G13:H13">
      <formula1>"Maternity (Start),Maternity (Final Claim),Paternity,Adoption (Start),Adoption (Final Claim),Public Duties,Jury Service,Suspensions"</formula1>
    </dataValidation>
    <dataValidation type="list" allowBlank="1" showInputMessage="1" showErrorMessage="1" sqref="F55">
      <formula1>"No,Yes"</formula1>
    </dataValidation>
    <dataValidation type="list" allowBlank="1" showInputMessage="1" showErrorMessage="1" sqref="E30:F30">
      <formula1>"I confirm they will receive SMP, No they will not receive SMP"</formula1>
    </dataValidation>
    <dataValidation type="list" allowBlank="1" showInputMessage="1" showErrorMessage="1" sqref="E31:F31">
      <formula1>"I confirm they will be receiving Contractual Pay, No they will not receive Contractual Pay"</formula1>
    </dataValidation>
    <dataValidation type="list" allowBlank="1" showInputMessage="1" showErrorMessage="1" sqref="E25:F25">
      <formula1>"Maternity/Adoption Start - Will Return,Maternity/Adoption Start - May Return, They have returned to work, They have not returned to work"</formula1>
    </dataValidation>
    <dataValidation type="list" allowBlank="1" showInputMessage="1" showErrorMessage="1" sqref="E29:F29">
      <formula1>"I confirm they will receive SMP/SAP/SPP, No they will not receive SMP/SAP/SPP"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36"/>
  <sheetViews>
    <sheetView zoomScale="80" zoomScaleNormal="80" zoomScalePageLayoutView="0" workbookViewId="0" topLeftCell="A4">
      <selection activeCell="N15" sqref="N15"/>
    </sheetView>
  </sheetViews>
  <sheetFormatPr defaultColWidth="9.140625" defaultRowHeight="15"/>
  <cols>
    <col min="1" max="1" width="13.8515625" style="12" customWidth="1"/>
    <col min="2" max="2" width="11.8515625" style="12" customWidth="1"/>
    <col min="3" max="3" width="2.8515625" style="12" customWidth="1"/>
    <col min="4" max="4" width="10.8515625" style="12" customWidth="1"/>
    <col min="5" max="5" width="2.8515625" style="12" customWidth="1"/>
    <col min="6" max="6" width="6.140625" style="12" customWidth="1"/>
    <col min="7" max="7" width="14.421875" style="12" bestFit="1" customWidth="1"/>
    <col min="8" max="8" width="35.7109375" style="12" customWidth="1"/>
    <col min="9" max="9" width="2.7109375" style="12" customWidth="1"/>
    <col min="10" max="10" width="13.8515625" style="12" customWidth="1"/>
    <col min="11" max="11" width="11.7109375" style="12" customWidth="1"/>
    <col min="12" max="12" width="2.8515625" style="12" customWidth="1"/>
    <col min="13" max="13" width="10.8515625" style="12" bestFit="1" customWidth="1"/>
    <col min="14" max="14" width="2.8515625" style="12" customWidth="1"/>
    <col min="15" max="15" width="6.140625" style="12" customWidth="1"/>
    <col min="16" max="16" width="12.8515625" style="12" bestFit="1" customWidth="1"/>
    <col min="17" max="17" width="39.00390625" style="12" customWidth="1"/>
    <col min="18" max="18" width="2.8515625" style="12" customWidth="1"/>
    <col min="19" max="16384" width="9.140625" style="12" customWidth="1"/>
  </cols>
  <sheetData>
    <row r="1" spans="1:18" ht="34.5" customHeight="1">
      <c r="A1" s="144" t="s">
        <v>58</v>
      </c>
      <c r="B1" s="42"/>
      <c r="C1" s="42"/>
      <c r="D1" s="42"/>
      <c r="E1" s="43"/>
      <c r="F1" s="43"/>
      <c r="G1" s="42"/>
      <c r="H1" s="42"/>
      <c r="I1" s="44"/>
      <c r="J1" s="145" t="s">
        <v>49</v>
      </c>
      <c r="K1" s="24"/>
      <c r="L1" s="24"/>
      <c r="M1" s="24"/>
      <c r="N1" s="25"/>
      <c r="O1" s="25"/>
      <c r="P1" s="24"/>
      <c r="Q1" s="24"/>
      <c r="R1" s="26"/>
    </row>
    <row r="2" spans="1:18" ht="18">
      <c r="A2" s="45" t="s">
        <v>15</v>
      </c>
      <c r="B2" s="323">
        <f>IF('Excepted Items Claim'!E33="Teacher",'Excepted Items Claim'!E17,"")</f>
      </c>
      <c r="C2" s="324"/>
      <c r="D2" s="324"/>
      <c r="E2" s="324"/>
      <c r="F2" s="325"/>
      <c r="G2" s="46"/>
      <c r="H2" s="46"/>
      <c r="I2" s="47"/>
      <c r="J2" s="27" t="s">
        <v>15</v>
      </c>
      <c r="K2" s="323">
        <f>IF('Excepted Items Claim'!E33="Support Staff",'Excepted Items Claim'!E17,"")</f>
      </c>
      <c r="L2" s="324"/>
      <c r="M2" s="324"/>
      <c r="N2" s="324"/>
      <c r="O2" s="325"/>
      <c r="P2" s="28"/>
      <c r="Q2" s="29"/>
      <c r="R2" s="30"/>
    </row>
    <row r="3" spans="1:18" ht="14.25">
      <c r="A3" s="45"/>
      <c r="B3" s="46"/>
      <c r="C3" s="48"/>
      <c r="D3" s="48"/>
      <c r="E3" s="46"/>
      <c r="F3" s="46" t="s">
        <v>16</v>
      </c>
      <c r="G3" s="46"/>
      <c r="H3" s="46"/>
      <c r="I3" s="47"/>
      <c r="J3" s="27"/>
      <c r="K3" s="28"/>
      <c r="L3" s="31"/>
      <c r="M3" s="31"/>
      <c r="N3" s="32"/>
      <c r="O3" s="28" t="s">
        <v>16</v>
      </c>
      <c r="P3" s="28"/>
      <c r="Q3" s="28"/>
      <c r="R3" s="30"/>
    </row>
    <row r="4" spans="1:18" ht="14.25">
      <c r="A4" s="45" t="s">
        <v>17</v>
      </c>
      <c r="B4" s="46"/>
      <c r="C4" s="49"/>
      <c r="D4" s="14">
        <f>IF('Excepted Items Claim'!E33="Teacher",'On Cost Calculator'!F19,"")</f>
      </c>
      <c r="E4" s="46"/>
      <c r="F4" s="46" t="s">
        <v>16</v>
      </c>
      <c r="G4" s="46" t="s">
        <v>18</v>
      </c>
      <c r="H4" s="146">
        <f>IF('Excepted Items Claim'!E33="Teacher",'Excepted Items Claim'!E49,"")</f>
      </c>
      <c r="I4" s="47"/>
      <c r="J4" s="27" t="s">
        <v>17</v>
      </c>
      <c r="K4" s="28"/>
      <c r="L4" s="33"/>
      <c r="M4" s="15">
        <f>IF('Excepted Items Claim'!E33="Support Staff",'On Cost Calculator'!F19,"")</f>
      </c>
      <c r="N4" s="32"/>
      <c r="O4" s="28" t="s">
        <v>16</v>
      </c>
      <c r="P4" s="28" t="s">
        <v>18</v>
      </c>
      <c r="Q4" s="16">
        <f>IF('Excepted Items Claim'!E33="Support Staff",'Excepted Items Claim'!E49,"")</f>
      </c>
      <c r="R4" s="30"/>
    </row>
    <row r="5" spans="1:18" ht="14.25">
      <c r="A5" s="45" t="s">
        <v>19</v>
      </c>
      <c r="B5" s="46"/>
      <c r="C5" s="49"/>
      <c r="D5" s="50" t="e">
        <f>G25</f>
        <v>#VALUE!</v>
      </c>
      <c r="E5" s="46"/>
      <c r="F5" s="46" t="s">
        <v>16</v>
      </c>
      <c r="G5" s="46" t="s">
        <v>20</v>
      </c>
      <c r="H5" s="17">
        <f>IF('Excepted Items Claim'!E33="Teacher",'Excepted Items Claim'!E25,"")</f>
      </c>
      <c r="I5" s="47"/>
      <c r="J5" s="27" t="s">
        <v>50</v>
      </c>
      <c r="K5" s="28"/>
      <c r="L5" s="33"/>
      <c r="M5" s="34" t="e">
        <f>SUM(P25)</f>
        <v>#VALUE!</v>
      </c>
      <c r="N5" s="32"/>
      <c r="O5" s="28" t="s">
        <v>16</v>
      </c>
      <c r="P5" s="35" t="s">
        <v>20</v>
      </c>
      <c r="Q5" s="17">
        <f>IF('Excepted Items Claim'!E33="Support Staff",'Excepted Items Claim'!E25,"")</f>
      </c>
      <c r="R5" s="30"/>
    </row>
    <row r="6" spans="1:18" ht="14.25">
      <c r="A6" s="45"/>
      <c r="B6" s="46"/>
      <c r="C6" s="49"/>
      <c r="D6" s="50"/>
      <c r="E6" s="46"/>
      <c r="F6" s="46"/>
      <c r="G6" s="46" t="s">
        <v>138</v>
      </c>
      <c r="H6" s="17">
        <f>IF('Excepted Items Claim'!E33="Teacher",'Excepted Items Claim'!E29,"")</f>
      </c>
      <c r="I6" s="47"/>
      <c r="J6" s="27"/>
      <c r="K6" s="28"/>
      <c r="L6" s="33"/>
      <c r="M6" s="34"/>
      <c r="N6" s="32"/>
      <c r="O6" s="28"/>
      <c r="P6" s="35" t="s">
        <v>138</v>
      </c>
      <c r="Q6" s="303" t="b">
        <f>IF('Excepted Items Claim'!E33="Support Staff",'Excepted Items Claim'!E29)</f>
        <v>0</v>
      </c>
      <c r="R6" s="30"/>
    </row>
    <row r="7" spans="1:18" ht="14.25">
      <c r="A7" s="45"/>
      <c r="B7" s="46"/>
      <c r="C7" s="49"/>
      <c r="D7" s="50"/>
      <c r="E7" s="46"/>
      <c r="F7" s="46"/>
      <c r="G7" s="46" t="s">
        <v>139</v>
      </c>
      <c r="H7" s="17">
        <f>IF('Excepted Items Claim'!E33="Teacher",'Excepted Items Claim'!E31,"")</f>
      </c>
      <c r="I7" s="47"/>
      <c r="J7" s="27"/>
      <c r="K7" s="28"/>
      <c r="L7" s="33"/>
      <c r="M7" s="34"/>
      <c r="N7" s="32"/>
      <c r="O7" s="28"/>
      <c r="P7" s="35" t="s">
        <v>139</v>
      </c>
      <c r="Q7" s="303" t="b">
        <f>IF('Excepted Items Claim'!E33="Support Staff",'Excepted Items Claim'!E31)</f>
        <v>0</v>
      </c>
      <c r="R7" s="30"/>
    </row>
    <row r="8" spans="1:18" ht="14.25">
      <c r="A8" s="51" t="s">
        <v>16</v>
      </c>
      <c r="B8" s="52"/>
      <c r="C8" s="53"/>
      <c r="D8" s="53" t="s">
        <v>16</v>
      </c>
      <c r="E8" s="52"/>
      <c r="F8" s="54" t="s">
        <v>16</v>
      </c>
      <c r="G8" s="52"/>
      <c r="H8" s="52"/>
      <c r="I8" s="55"/>
      <c r="J8" s="36" t="s">
        <v>16</v>
      </c>
      <c r="K8" s="37"/>
      <c r="L8" s="38"/>
      <c r="M8" s="38" t="s">
        <v>16</v>
      </c>
      <c r="N8" s="39"/>
      <c r="O8" s="40" t="s">
        <v>16</v>
      </c>
      <c r="P8" s="37"/>
      <c r="Q8" s="37"/>
      <c r="R8" s="41"/>
    </row>
    <row r="9" spans="1:18" ht="14.25">
      <c r="A9" s="56" t="s">
        <v>21</v>
      </c>
      <c r="B9" s="57"/>
      <c r="C9" s="57"/>
      <c r="D9" s="57"/>
      <c r="E9" s="57"/>
      <c r="F9" s="57"/>
      <c r="G9" s="57"/>
      <c r="H9" s="57"/>
      <c r="I9" s="58"/>
      <c r="J9" s="81" t="s">
        <v>51</v>
      </c>
      <c r="K9" s="82"/>
      <c r="L9" s="82"/>
      <c r="M9" s="82"/>
      <c r="N9" s="83"/>
      <c r="O9" s="82"/>
      <c r="P9" s="82"/>
      <c r="Q9" s="82"/>
      <c r="R9" s="84"/>
    </row>
    <row r="10" spans="1:18" ht="14.25">
      <c r="A10" s="59" t="s">
        <v>22</v>
      </c>
      <c r="B10" s="60"/>
      <c r="C10" s="60"/>
      <c r="D10" s="60"/>
      <c r="E10" s="60"/>
      <c r="F10" s="60" t="s">
        <v>23</v>
      </c>
      <c r="G10" s="60"/>
      <c r="H10" s="60"/>
      <c r="I10" s="61"/>
      <c r="J10" s="85" t="s">
        <v>52</v>
      </c>
      <c r="K10" s="86"/>
      <c r="L10" s="86"/>
      <c r="M10" s="86"/>
      <c r="N10" s="87"/>
      <c r="O10" s="86" t="s">
        <v>23</v>
      </c>
      <c r="P10" s="86"/>
      <c r="Q10" s="86"/>
      <c r="R10" s="88"/>
    </row>
    <row r="11" spans="1:18" ht="14.25">
      <c r="A11" s="62"/>
      <c r="B11" s="63"/>
      <c r="C11" s="63"/>
      <c r="D11" s="64"/>
      <c r="E11" s="63"/>
      <c r="F11" s="63"/>
      <c r="G11" s="63"/>
      <c r="H11" s="63"/>
      <c r="I11" s="61"/>
      <c r="J11" s="89"/>
      <c r="K11" s="90"/>
      <c r="L11" s="90"/>
      <c r="M11" s="91"/>
      <c r="N11" s="90"/>
      <c r="O11" s="90"/>
      <c r="P11" s="90"/>
      <c r="Q11" s="90"/>
      <c r="R11" s="88"/>
    </row>
    <row r="12" spans="1:18" ht="14.25">
      <c r="A12" s="62" t="s">
        <v>24</v>
      </c>
      <c r="B12" s="63"/>
      <c r="C12" s="63"/>
      <c r="D12" s="65" t="e">
        <f>SUM(D4/365)*7</f>
        <v>#VALUE!</v>
      </c>
      <c r="E12" s="63"/>
      <c r="F12" s="63" t="s">
        <v>25</v>
      </c>
      <c r="G12" s="63"/>
      <c r="H12" s="63"/>
      <c r="I12" s="61"/>
      <c r="J12" s="89" t="s">
        <v>24</v>
      </c>
      <c r="K12" s="90"/>
      <c r="L12" s="90"/>
      <c r="M12" s="92" t="e">
        <f>SUM(M4/365)*7</f>
        <v>#VALUE!</v>
      </c>
      <c r="N12" s="90"/>
      <c r="O12" s="90"/>
      <c r="P12" s="90"/>
      <c r="Q12" s="90"/>
      <c r="R12" s="88"/>
    </row>
    <row r="13" spans="1:18" ht="14.25">
      <c r="A13" s="66" t="s">
        <v>26</v>
      </c>
      <c r="B13" s="63"/>
      <c r="C13" s="63"/>
      <c r="D13" s="65" t="e">
        <f>SUM((D4/365)*7)*90%</f>
        <v>#VALUE!</v>
      </c>
      <c r="E13" s="63"/>
      <c r="F13" s="63" t="s">
        <v>27</v>
      </c>
      <c r="G13" s="63"/>
      <c r="H13" s="63"/>
      <c r="I13" s="61"/>
      <c r="J13" s="93" t="s">
        <v>26</v>
      </c>
      <c r="K13" s="90"/>
      <c r="L13" s="90"/>
      <c r="M13" s="92" t="e">
        <f>SUM((M4/365)*7)*90%</f>
        <v>#VALUE!</v>
      </c>
      <c r="N13" s="90"/>
      <c r="O13" s="90" t="s">
        <v>53</v>
      </c>
      <c r="P13" s="90"/>
      <c r="Q13" s="90"/>
      <c r="R13" s="88"/>
    </row>
    <row r="14" spans="1:18" ht="14.25">
      <c r="A14" s="62" t="s">
        <v>28</v>
      </c>
      <c r="B14" s="63"/>
      <c r="C14" s="63"/>
      <c r="D14" s="65" t="e">
        <f>SUM((D4/365)*7)*50%</f>
        <v>#VALUE!</v>
      </c>
      <c r="E14" s="63"/>
      <c r="F14" s="63" t="s">
        <v>29</v>
      </c>
      <c r="G14" s="63"/>
      <c r="H14" s="63"/>
      <c r="I14" s="61"/>
      <c r="J14" s="89" t="s">
        <v>28</v>
      </c>
      <c r="K14" s="90"/>
      <c r="L14" s="90"/>
      <c r="M14" s="92" t="e">
        <f>SUM((M4/365)*7)*50%</f>
        <v>#VALUE!</v>
      </c>
      <c r="N14" s="90"/>
      <c r="O14" s="90" t="s">
        <v>54</v>
      </c>
      <c r="P14" s="90"/>
      <c r="Q14" s="90"/>
      <c r="R14" s="88"/>
    </row>
    <row r="15" spans="1:18" ht="14.25">
      <c r="A15" s="62" t="s">
        <v>30</v>
      </c>
      <c r="B15" s="63"/>
      <c r="C15" s="63"/>
      <c r="D15" s="65">
        <v>151.2</v>
      </c>
      <c r="E15" s="63"/>
      <c r="F15" s="63" t="s">
        <v>31</v>
      </c>
      <c r="G15" s="63"/>
      <c r="H15" s="63"/>
      <c r="I15" s="67"/>
      <c r="J15" s="89" t="s">
        <v>30</v>
      </c>
      <c r="K15" s="90"/>
      <c r="L15" s="90"/>
      <c r="M15" s="92">
        <v>151.2</v>
      </c>
      <c r="N15" s="90"/>
      <c r="O15" s="90" t="s">
        <v>55</v>
      </c>
      <c r="P15" s="90"/>
      <c r="Q15" s="90"/>
      <c r="R15" s="88"/>
    </row>
    <row r="16" spans="1:18" ht="14.25">
      <c r="A16" s="68"/>
      <c r="B16" s="69"/>
      <c r="C16" s="69"/>
      <c r="D16" s="69"/>
      <c r="E16" s="69"/>
      <c r="F16" s="69"/>
      <c r="G16" s="69"/>
      <c r="H16" s="69"/>
      <c r="I16" s="70"/>
      <c r="J16" s="94"/>
      <c r="K16" s="95"/>
      <c r="L16" s="95"/>
      <c r="M16" s="95"/>
      <c r="N16" s="95"/>
      <c r="O16" s="95" t="s">
        <v>56</v>
      </c>
      <c r="P16" s="95"/>
      <c r="Q16" s="95"/>
      <c r="R16" s="96"/>
    </row>
    <row r="17" spans="1:18" s="19" customFormat="1" ht="15">
      <c r="A17" s="71" t="s">
        <v>59</v>
      </c>
      <c r="B17" s="72"/>
      <c r="C17" s="72"/>
      <c r="D17" s="73"/>
      <c r="E17" s="72"/>
      <c r="F17" s="74"/>
      <c r="G17" s="72"/>
      <c r="H17" s="72"/>
      <c r="I17" s="75"/>
      <c r="J17" s="97" t="s">
        <v>59</v>
      </c>
      <c r="K17" s="98"/>
      <c r="L17" s="98"/>
      <c r="M17" s="98"/>
      <c r="N17" s="99"/>
      <c r="O17" s="100"/>
      <c r="P17" s="98"/>
      <c r="Q17" s="98"/>
      <c r="R17" s="101"/>
    </row>
    <row r="18" spans="1:18" ht="14.25">
      <c r="A18" s="62" t="s">
        <v>32</v>
      </c>
      <c r="B18" s="64" t="s">
        <v>33</v>
      </c>
      <c r="C18" s="63"/>
      <c r="D18" s="65" t="e">
        <f>D12*4</f>
        <v>#VALUE!</v>
      </c>
      <c r="E18" s="63"/>
      <c r="F18" s="76" t="s">
        <v>34</v>
      </c>
      <c r="G18" s="65" t="e">
        <f>D18*10%</f>
        <v>#VALUE!</v>
      </c>
      <c r="H18" s="63"/>
      <c r="I18" s="67"/>
      <c r="J18" s="89" t="s">
        <v>57</v>
      </c>
      <c r="K18" s="91" t="s">
        <v>33</v>
      </c>
      <c r="L18" s="90"/>
      <c r="M18" s="92" t="e">
        <f>M13*6</f>
        <v>#VALUE!</v>
      </c>
      <c r="N18" s="90"/>
      <c r="O18" s="102" t="s">
        <v>36</v>
      </c>
      <c r="P18" s="92">
        <f>IF(Q6="I confirm they will receive SMP/SAP/SPP",M18*8%,0)</f>
        <v>0</v>
      </c>
      <c r="Q18" s="90"/>
      <c r="R18" s="88"/>
    </row>
    <row r="19" spans="1:18" ht="14.25">
      <c r="A19" s="62" t="s">
        <v>35</v>
      </c>
      <c r="B19" s="64" t="s">
        <v>33</v>
      </c>
      <c r="C19" s="63"/>
      <c r="D19" s="65" t="e">
        <f>D13*4</f>
        <v>#VALUE!</v>
      </c>
      <c r="E19" s="63"/>
      <c r="F19" s="76" t="s">
        <v>36</v>
      </c>
      <c r="G19" s="65">
        <f>IF(H6="I confirm they will receive SMP/SAP/SPP",D19*8%,0)</f>
        <v>0</v>
      </c>
      <c r="H19" s="63"/>
      <c r="I19" s="67"/>
      <c r="J19" s="89" t="s">
        <v>38</v>
      </c>
      <c r="K19" s="91" t="s">
        <v>33</v>
      </c>
      <c r="L19" s="90"/>
      <c r="M19" s="92" t="e">
        <f>SUM(M14*12)</f>
        <v>#VALUE!</v>
      </c>
      <c r="N19" s="90"/>
      <c r="O19" s="102" t="s">
        <v>39</v>
      </c>
      <c r="P19" s="92">
        <f>IF(Q7="I confirm they will be receiving Contractual Pay",M19,0)</f>
        <v>0</v>
      </c>
      <c r="Q19" s="90"/>
      <c r="R19" s="88"/>
    </row>
    <row r="20" spans="1:18" ht="14.25">
      <c r="A20" s="62" t="s">
        <v>37</v>
      </c>
      <c r="B20" s="64" t="s">
        <v>33</v>
      </c>
      <c r="C20" s="63"/>
      <c r="D20" s="65" t="e">
        <f>D13*2</f>
        <v>#VALUE!</v>
      </c>
      <c r="E20" s="77"/>
      <c r="F20" s="76" t="s">
        <v>36</v>
      </c>
      <c r="G20" s="65">
        <f>IF(H6="I confirm they will receive SMP/SAP/SPP",D20*8%,0)</f>
        <v>0</v>
      </c>
      <c r="H20" s="63"/>
      <c r="I20" s="67"/>
      <c r="J20" s="89" t="s">
        <v>40</v>
      </c>
      <c r="K20" s="91" t="s">
        <v>33</v>
      </c>
      <c r="L20" s="90"/>
      <c r="M20" s="92">
        <f>+M15*12</f>
        <v>1814.3999999999999</v>
      </c>
      <c r="N20" s="90"/>
      <c r="O20" s="102" t="s">
        <v>36</v>
      </c>
      <c r="P20" s="92">
        <f>IF(Q6="I confirm they will receive SMP/SAP/SPP",M20*8%,0)</f>
        <v>0</v>
      </c>
      <c r="Q20" s="90"/>
      <c r="R20" s="88"/>
    </row>
    <row r="21" spans="1:18" ht="14.25">
      <c r="A21" s="62" t="s">
        <v>38</v>
      </c>
      <c r="B21" s="64" t="s">
        <v>33</v>
      </c>
      <c r="C21" s="63"/>
      <c r="D21" s="65" t="e">
        <f>D14*12</f>
        <v>#VALUE!</v>
      </c>
      <c r="E21" s="77"/>
      <c r="F21" s="76" t="s">
        <v>39</v>
      </c>
      <c r="G21" s="65">
        <f>IF(H7="I confirm they will be receiving Contractual Pay",D21,0)</f>
        <v>0</v>
      </c>
      <c r="H21" s="63"/>
      <c r="I21" s="67"/>
      <c r="J21" s="89" t="s">
        <v>41</v>
      </c>
      <c r="K21" s="90"/>
      <c r="L21" s="90"/>
      <c r="M21" s="92">
        <f>SUM(M15*21)</f>
        <v>3175.2</v>
      </c>
      <c r="N21" s="90"/>
      <c r="O21" s="102" t="s">
        <v>36</v>
      </c>
      <c r="P21" s="92">
        <f>IF(Q6="I confirm they will receive SMP/SAP/SPP",M21*8%,0)</f>
        <v>0</v>
      </c>
      <c r="Q21" s="90"/>
      <c r="R21" s="88"/>
    </row>
    <row r="22" spans="1:18" ht="14.25">
      <c r="A22" s="62" t="s">
        <v>40</v>
      </c>
      <c r="B22" s="64" t="s">
        <v>33</v>
      </c>
      <c r="C22" s="63"/>
      <c r="D22" s="65">
        <f>D15*12</f>
        <v>1814.3999999999999</v>
      </c>
      <c r="E22" s="77"/>
      <c r="F22" s="76" t="s">
        <v>36</v>
      </c>
      <c r="G22" s="65">
        <f>IF(H6="I confirm they will receive SMP/SAP/SPP",D22*8%,0)</f>
        <v>0</v>
      </c>
      <c r="H22" s="63"/>
      <c r="I22" s="67"/>
      <c r="J22" s="89"/>
      <c r="K22" s="90"/>
      <c r="L22" s="90"/>
      <c r="M22" s="103"/>
      <c r="N22" s="90"/>
      <c r="O22" s="90"/>
      <c r="P22" s="103"/>
      <c r="Q22" s="90"/>
      <c r="R22" s="88"/>
    </row>
    <row r="23" spans="1:18" ht="14.25">
      <c r="A23" s="62" t="s">
        <v>41</v>
      </c>
      <c r="B23" s="64" t="s">
        <v>33</v>
      </c>
      <c r="C23" s="63"/>
      <c r="D23" s="65">
        <f>D15*21</f>
        <v>3175.2</v>
      </c>
      <c r="E23" s="77"/>
      <c r="F23" s="76" t="s">
        <v>36</v>
      </c>
      <c r="G23" s="65">
        <f>IF(H6="I confirm they will receive SMP/SAP/SPP",D23*8%,0)</f>
        <v>0</v>
      </c>
      <c r="H23" s="63"/>
      <c r="I23" s="67"/>
      <c r="J23" s="89"/>
      <c r="K23" s="90"/>
      <c r="L23" s="90"/>
      <c r="M23" s="103"/>
      <c r="N23" s="90"/>
      <c r="O23" s="90"/>
      <c r="P23" s="90"/>
      <c r="Q23" s="90"/>
      <c r="R23" s="88"/>
    </row>
    <row r="24" spans="1:18" ht="14.25">
      <c r="A24" s="78"/>
      <c r="B24" s="79"/>
      <c r="C24" s="79"/>
      <c r="D24" s="79"/>
      <c r="E24" s="79"/>
      <c r="F24" s="79"/>
      <c r="G24" s="79"/>
      <c r="H24" s="79"/>
      <c r="I24" s="80"/>
      <c r="J24" s="104"/>
      <c r="K24" s="105"/>
      <c r="L24" s="105"/>
      <c r="M24" s="105"/>
      <c r="N24" s="105"/>
      <c r="O24" s="105"/>
      <c r="P24" s="105"/>
      <c r="Q24" s="105"/>
      <c r="R24" s="96"/>
    </row>
    <row r="25" spans="1:18" ht="14.25">
      <c r="A25" s="106" t="s">
        <v>42</v>
      </c>
      <c r="B25" s="107"/>
      <c r="C25" s="108" t="s">
        <v>43</v>
      </c>
      <c r="D25" s="42"/>
      <c r="E25" s="109"/>
      <c r="F25" s="107"/>
      <c r="G25" s="110" t="e">
        <f>SUM(G18:G23)*H4</f>
        <v>#VALUE!</v>
      </c>
      <c r="H25" s="107"/>
      <c r="I25" s="111"/>
      <c r="J25" s="125" t="s">
        <v>42</v>
      </c>
      <c r="K25" s="126"/>
      <c r="L25" s="127" t="s">
        <v>43</v>
      </c>
      <c r="M25" s="128"/>
      <c r="N25" s="129"/>
      <c r="O25" s="126"/>
      <c r="P25" s="130" t="e">
        <f>SUM(P18:P21)*Q4</f>
        <v>#VALUE!</v>
      </c>
      <c r="Q25" s="126"/>
      <c r="R25" s="26"/>
    </row>
    <row r="26" spans="1:18" ht="14.25">
      <c r="A26" s="112"/>
      <c r="B26" s="113"/>
      <c r="C26" s="114" t="s">
        <v>44</v>
      </c>
      <c r="D26" s="113"/>
      <c r="E26" s="115"/>
      <c r="F26" s="113"/>
      <c r="G26" s="116" t="e">
        <f>SUM(G23,G22,G20,G19,G18)*H4</f>
        <v>#VALUE!</v>
      </c>
      <c r="H26" s="113"/>
      <c r="I26" s="117"/>
      <c r="J26" s="131"/>
      <c r="K26" s="132"/>
      <c r="L26" s="133" t="s">
        <v>44</v>
      </c>
      <c r="M26" s="132"/>
      <c r="N26" s="132"/>
      <c r="O26" s="132"/>
      <c r="P26" s="134" t="e">
        <f>SUM(P21,P20,P18)*Q4</f>
        <v>#VALUE!</v>
      </c>
      <c r="Q26" s="132"/>
      <c r="R26" s="30"/>
    </row>
    <row r="27" spans="1:18" ht="14.25">
      <c r="A27" s="118"/>
      <c r="B27" s="119"/>
      <c r="C27" s="119"/>
      <c r="D27" s="119"/>
      <c r="E27" s="119"/>
      <c r="F27" s="119"/>
      <c r="G27" s="119"/>
      <c r="H27" s="119"/>
      <c r="I27" s="117"/>
      <c r="J27" s="131"/>
      <c r="K27" s="132"/>
      <c r="L27" s="132"/>
      <c r="M27" s="135"/>
      <c r="N27" s="132"/>
      <c r="O27" s="132"/>
      <c r="P27" s="135"/>
      <c r="Q27" s="136"/>
      <c r="R27" s="30"/>
    </row>
    <row r="28" spans="1:18" ht="18">
      <c r="A28" s="112"/>
      <c r="B28" s="113"/>
      <c r="C28" s="120" t="s">
        <v>45</v>
      </c>
      <c r="D28" s="121"/>
      <c r="E28" s="113"/>
      <c r="F28" s="113"/>
      <c r="G28" s="122">
        <f>IF(H5="Maternity/Adoption Start - May Return",G26,IF(H5="Maternity/Adoption Start - Will Return",G25,))</f>
        <v>0</v>
      </c>
      <c r="H28" s="113"/>
      <c r="I28" s="47"/>
      <c r="J28" s="131"/>
      <c r="K28" s="132"/>
      <c r="L28" s="137" t="s">
        <v>45</v>
      </c>
      <c r="M28" s="135"/>
      <c r="N28" s="132"/>
      <c r="O28" s="132"/>
      <c r="P28" s="138">
        <f>IF(Q5="Maternity/Adoption Start - May Return",P26,IF(Q5="Maternity/Adoption Start - Will Return",P25,))</f>
        <v>0</v>
      </c>
      <c r="Q28" s="139"/>
      <c r="R28" s="30"/>
    </row>
    <row r="29" spans="1:18" ht="14.25">
      <c r="A29" s="112"/>
      <c r="B29" s="113"/>
      <c r="C29" s="46" t="s">
        <v>46</v>
      </c>
      <c r="D29" s="121"/>
      <c r="E29" s="113"/>
      <c r="F29" s="113"/>
      <c r="G29" s="50">
        <f>+G28/9</f>
        <v>0</v>
      </c>
      <c r="H29" s="17"/>
      <c r="I29" s="47"/>
      <c r="J29" s="140"/>
      <c r="K29" s="29"/>
      <c r="L29" s="28" t="s">
        <v>46</v>
      </c>
      <c r="M29" s="135"/>
      <c r="N29" s="132"/>
      <c r="O29" s="132"/>
      <c r="P29" s="34">
        <f>+P28/9</f>
        <v>0</v>
      </c>
      <c r="Q29" s="16"/>
      <c r="R29" s="30"/>
    </row>
    <row r="30" spans="1:18" ht="14.25">
      <c r="A30" s="123"/>
      <c r="B30" s="124"/>
      <c r="C30" s="124"/>
      <c r="D30" s="124"/>
      <c r="E30" s="124"/>
      <c r="F30" s="124"/>
      <c r="G30" s="124"/>
      <c r="H30" s="124"/>
      <c r="I30" s="55"/>
      <c r="J30" s="141"/>
      <c r="K30" s="142"/>
      <c r="L30" s="142"/>
      <c r="M30" s="142"/>
      <c r="N30" s="142"/>
      <c r="O30" s="142"/>
      <c r="P30" s="142"/>
      <c r="Q30" s="142"/>
      <c r="R30" s="41"/>
    </row>
    <row r="31" spans="1:4" ht="14.25">
      <c r="A31" s="143" t="s">
        <v>47</v>
      </c>
      <c r="B31" s="326"/>
      <c r="C31" s="327"/>
      <c r="D31" s="328"/>
    </row>
    <row r="32" spans="1:4" ht="14.25">
      <c r="A32" s="143" t="s">
        <v>48</v>
      </c>
      <c r="B32" s="329"/>
      <c r="C32" s="330"/>
      <c r="D32" s="331"/>
    </row>
    <row r="33" spans="1:8" ht="15">
      <c r="A33" s="18"/>
      <c r="B33" s="18"/>
      <c r="C33" s="18"/>
      <c r="D33" s="21"/>
      <c r="E33" s="18"/>
      <c r="F33" s="18"/>
      <c r="G33" s="21"/>
      <c r="H33" s="18"/>
    </row>
    <row r="34" spans="5:13" ht="14.25">
      <c r="E34" s="11"/>
      <c r="F34" s="11"/>
      <c r="G34" s="20"/>
      <c r="H34" s="11"/>
      <c r="J34" s="13"/>
      <c r="M34" s="11"/>
    </row>
    <row r="35" ht="14.25">
      <c r="M35" s="22"/>
    </row>
    <row r="36" spans="4:13" ht="14.25">
      <c r="D36" s="23"/>
      <c r="M36" s="23"/>
    </row>
  </sheetData>
  <sheetProtection selectLockedCells="1" selectUnlockedCells="1"/>
  <mergeCells count="4">
    <mergeCell ref="B2:F2"/>
    <mergeCell ref="B31:D31"/>
    <mergeCell ref="B32:D32"/>
    <mergeCell ref="K2:O2"/>
  </mergeCells>
  <dataValidations count="2">
    <dataValidation type="list" allowBlank="1" showInputMessage="1" showErrorMessage="1" sqref="Q29">
      <formula1>$J$20:$J$30</formula1>
    </dataValidation>
    <dataValidation type="list" allowBlank="1" showInputMessage="1" showErrorMessage="1" sqref="H29">
      <formula1>$J$22:$J$32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20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20.8515625" style="193" customWidth="1"/>
    <col min="2" max="2" width="12.7109375" style="193" bestFit="1" customWidth="1"/>
    <col min="3" max="3" width="10.57421875" style="193" customWidth="1"/>
    <col min="4" max="4" width="10.140625" style="193" bestFit="1" customWidth="1"/>
    <col min="5" max="5" width="9.140625" style="193" customWidth="1"/>
    <col min="6" max="6" width="11.140625" style="193" bestFit="1" customWidth="1"/>
    <col min="7" max="7" width="13.421875" style="193" customWidth="1"/>
    <col min="8" max="8" width="15.00390625" style="193" customWidth="1"/>
    <col min="9" max="16384" width="9.140625" style="193" customWidth="1"/>
  </cols>
  <sheetData>
    <row r="1" spans="1:8" ht="15" thickBot="1">
      <c r="A1" s="19" t="s">
        <v>61</v>
      </c>
      <c r="G1" s="179" t="s">
        <v>12</v>
      </c>
      <c r="H1" s="180" t="s">
        <v>62</v>
      </c>
    </row>
    <row r="2" spans="1:8" ht="29.25" thickBot="1">
      <c r="A2" s="183" t="s">
        <v>63</v>
      </c>
      <c r="B2" s="184">
        <v>21</v>
      </c>
      <c r="C2" s="185">
        <f>(H2/100)*B2</f>
        <v>0</v>
      </c>
      <c r="G2" s="181">
        <f>'Excepted Items Claim'!E53</f>
        <v>0</v>
      </c>
      <c r="H2" s="182">
        <f>(G2/12)</f>
        <v>0</v>
      </c>
    </row>
    <row r="3" spans="1:3" ht="29.25" thickBot="1">
      <c r="A3" s="186" t="s">
        <v>64</v>
      </c>
      <c r="B3" s="187">
        <v>23.6</v>
      </c>
      <c r="C3" s="188">
        <f>(H2/100)*B3</f>
        <v>0</v>
      </c>
    </row>
    <row r="4" ht="30" customHeight="1">
      <c r="B4" s="198" t="s">
        <v>65</v>
      </c>
    </row>
    <row r="5" ht="15" thickBot="1">
      <c r="B5" s="193" t="s">
        <v>149</v>
      </c>
    </row>
    <row r="6" spans="2:8" ht="15" thickBot="1">
      <c r="B6" s="153" t="s">
        <v>129</v>
      </c>
      <c r="C6" s="154" t="s">
        <v>130</v>
      </c>
      <c r="D6" s="154" t="s">
        <v>131</v>
      </c>
      <c r="E6" s="154" t="s">
        <v>132</v>
      </c>
      <c r="F6" s="154" t="s">
        <v>133</v>
      </c>
      <c r="G6" s="154" t="s">
        <v>134</v>
      </c>
      <c r="H6" s="154" t="s">
        <v>67</v>
      </c>
    </row>
    <row r="7" spans="1:9" ht="14.25">
      <c r="A7" s="196" t="s">
        <v>66</v>
      </c>
      <c r="B7" s="153">
        <v>512</v>
      </c>
      <c r="C7" s="154">
        <v>719</v>
      </c>
      <c r="D7" s="154">
        <v>719</v>
      </c>
      <c r="E7" s="154">
        <v>4167</v>
      </c>
      <c r="F7" s="154">
        <v>4167</v>
      </c>
      <c r="G7" s="154">
        <v>4167</v>
      </c>
      <c r="H7" s="154" t="s">
        <v>67</v>
      </c>
      <c r="I7" s="155" t="s">
        <v>68</v>
      </c>
    </row>
    <row r="8" spans="1:9" ht="14.25" hidden="1">
      <c r="A8" s="196" t="s">
        <v>69</v>
      </c>
      <c r="B8" s="156">
        <v>0</v>
      </c>
      <c r="C8" s="147">
        <v>0</v>
      </c>
      <c r="D8" s="147">
        <v>0</v>
      </c>
      <c r="E8" s="147">
        <v>13.8</v>
      </c>
      <c r="F8" s="147">
        <v>13.8</v>
      </c>
      <c r="G8" s="147">
        <v>13.8</v>
      </c>
      <c r="H8" s="147">
        <v>3.4</v>
      </c>
      <c r="I8" s="157"/>
    </row>
    <row r="9" spans="1:9" ht="14.25" hidden="1">
      <c r="A9" s="197" t="s">
        <v>70</v>
      </c>
      <c r="B9" s="158">
        <f>IF($H$2&lt;=B$7,$H$2,B$7)</f>
        <v>0</v>
      </c>
      <c r="C9" s="148">
        <f>IF(AND($H$2&lt;C$7,$H$2&gt;=B$7),($H$2-B$7),IF($H$2&gt;C$7,(C$7-B$7),0))</f>
        <v>0</v>
      </c>
      <c r="D9" s="148">
        <f>IF(AND($H$2&lt;D$7,$H$2&gt;=C$7),($H$2-C$7),IF($H$2&gt;D$7,(D$7-C$7),0))</f>
        <v>0</v>
      </c>
      <c r="E9" s="148">
        <f>IF(AND($H$2&lt;E$7,$H$2&gt;=D$7),($H$2-D$7),IF($H$2&gt;E$7,(E$7-D$7),0))</f>
        <v>0</v>
      </c>
      <c r="F9" s="148">
        <f>IF(AND($H$2&lt;F$7,$H$2&gt;=E$7),($H$2-E$7),IF($H$2&gt;F$7,(F$7-E$7),0))</f>
        <v>0</v>
      </c>
      <c r="G9" s="148">
        <f>IF($H$2&gt;=F$7,($H$2-F$7),0)</f>
        <v>0</v>
      </c>
      <c r="H9" s="148">
        <f>C9</f>
        <v>0</v>
      </c>
      <c r="I9" s="157"/>
    </row>
    <row r="10" spans="1:9" ht="14.25" hidden="1">
      <c r="A10" s="197" t="s">
        <v>71</v>
      </c>
      <c r="B10" s="159">
        <f>(B9/100)*B8</f>
        <v>0</v>
      </c>
      <c r="C10" s="149">
        <f aca="true" t="shared" si="0" ref="C10:H10">(C9/100)*C8</f>
        <v>0</v>
      </c>
      <c r="D10" s="149">
        <f t="shared" si="0"/>
        <v>0</v>
      </c>
      <c r="E10" s="149">
        <f t="shared" si="0"/>
        <v>0</v>
      </c>
      <c r="F10" s="149">
        <f t="shared" si="0"/>
        <v>0</v>
      </c>
      <c r="G10" s="149">
        <f t="shared" si="0"/>
        <v>0</v>
      </c>
      <c r="H10" s="150">
        <f t="shared" si="0"/>
        <v>0</v>
      </c>
      <c r="I10" s="160">
        <f>SUM(B10:G10)-H10</f>
        <v>0</v>
      </c>
    </row>
    <row r="11" spans="1:9" ht="14.25">
      <c r="A11" s="196" t="s">
        <v>135</v>
      </c>
      <c r="B11" s="161">
        <v>0</v>
      </c>
      <c r="C11" s="151">
        <v>0</v>
      </c>
      <c r="D11" s="151">
        <v>0</v>
      </c>
      <c r="E11" s="151">
        <v>13.8</v>
      </c>
      <c r="F11" s="151">
        <v>13.8</v>
      </c>
      <c r="G11" s="151">
        <v>13.8</v>
      </c>
      <c r="H11" s="151">
        <v>0</v>
      </c>
      <c r="I11" s="162"/>
    </row>
    <row r="12" spans="1:9" ht="14.25">
      <c r="A12" s="197" t="s">
        <v>70</v>
      </c>
      <c r="B12" s="158">
        <f>IF($H$2&lt;=B$7,$H$2,B$7)</f>
        <v>0</v>
      </c>
      <c r="C12" s="148">
        <f>IF(AND($H$2&lt;C$7,$H$2&gt;=B$7),($H$2-B$7),IF($H$2&gt;C$7,(C$7-B$7),0))</f>
        <v>0</v>
      </c>
      <c r="D12" s="148">
        <f>IF(AND($H$2&lt;D$7,$H$2&gt;=C$7),($H$2-C$7),IF($H$2&gt;D$7,(D$7-C$7),0))</f>
        <v>0</v>
      </c>
      <c r="E12" s="148">
        <f>IF(AND($H$2&lt;E$7,$H$2&gt;=D$7),($H$2-D$7),IF($H$2&gt;E$7,(E$7-D$7),0))</f>
        <v>0</v>
      </c>
      <c r="F12" s="148">
        <f>IF(AND($H$2&lt;F$7,$H$2&gt;=E$7),($H$2-E$7),IF($H$2&gt;F$7,(F$7-E$7),0))</f>
        <v>0</v>
      </c>
      <c r="G12" s="148">
        <f>IF($H$2&gt;=F$7,($H$2-F$7),0)</f>
        <v>0</v>
      </c>
      <c r="H12" s="148">
        <f>C12</f>
        <v>0</v>
      </c>
      <c r="I12" s="157"/>
    </row>
    <row r="13" spans="1:9" ht="15" thickBot="1">
      <c r="A13" s="197" t="s">
        <v>71</v>
      </c>
      <c r="B13" s="163">
        <f aca="true" t="shared" si="1" ref="B13:H13">(B12/100)*B11</f>
        <v>0</v>
      </c>
      <c r="C13" s="164">
        <f t="shared" si="1"/>
        <v>0</v>
      </c>
      <c r="D13" s="164">
        <f t="shared" si="1"/>
        <v>0</v>
      </c>
      <c r="E13" s="164">
        <f t="shared" si="1"/>
        <v>0</v>
      </c>
      <c r="F13" s="164">
        <f t="shared" si="1"/>
        <v>0</v>
      </c>
      <c r="G13" s="164">
        <f t="shared" si="1"/>
        <v>0</v>
      </c>
      <c r="H13" s="164">
        <f t="shared" si="1"/>
        <v>0</v>
      </c>
      <c r="I13" s="165">
        <f>SUM(B13:G13)-H13</f>
        <v>0</v>
      </c>
    </row>
    <row r="14" ht="15" thickBot="1"/>
    <row r="15" spans="2:6" ht="14.25">
      <c r="B15" s="175"/>
      <c r="C15" s="176" t="s">
        <v>75</v>
      </c>
      <c r="D15" s="177" t="s">
        <v>72</v>
      </c>
      <c r="E15" s="178"/>
      <c r="F15" s="192" t="s">
        <v>68</v>
      </c>
    </row>
    <row r="16" spans="2:8" ht="15">
      <c r="B16" s="166" t="s">
        <v>76</v>
      </c>
      <c r="C16" s="167">
        <f>(C2+I13)*12</f>
        <v>0</v>
      </c>
      <c r="D16" s="168">
        <f>G2</f>
        <v>0</v>
      </c>
      <c r="E16" s="169" t="s">
        <v>73</v>
      </c>
      <c r="F16" s="189">
        <f>C16+D16</f>
        <v>0</v>
      </c>
      <c r="G16" s="195">
        <f>IF('Excepted Items Claim'!E51="lgps","&lt;---X","")</f>
      </c>
      <c r="H16" s="199">
        <f>IF(G16="&lt;---X",F16,"")</f>
      </c>
    </row>
    <row r="17" spans="2:8" ht="15">
      <c r="B17" s="166" t="s">
        <v>77</v>
      </c>
      <c r="C17" s="167">
        <f>(C3+I13)*12</f>
        <v>0</v>
      </c>
      <c r="D17" s="168">
        <f>G2</f>
        <v>0</v>
      </c>
      <c r="E17" s="169" t="s">
        <v>73</v>
      </c>
      <c r="F17" s="190">
        <f>C17+D17</f>
        <v>0</v>
      </c>
      <c r="G17" s="195">
        <f>IF('Excepted Items Claim'!E51="tps","&lt;---X","")</f>
      </c>
      <c r="H17" s="199">
        <f>IF(G17="&lt;---X",F17,"")</f>
      </c>
    </row>
    <row r="18" spans="2:8" ht="15.75" thickBot="1">
      <c r="B18" s="170" t="s">
        <v>78</v>
      </c>
      <c r="C18" s="171">
        <f>I13*12</f>
        <v>0</v>
      </c>
      <c r="D18" s="172">
        <f>G2</f>
        <v>0</v>
      </c>
      <c r="E18" s="173" t="s">
        <v>73</v>
      </c>
      <c r="F18" s="191">
        <f>C18+D18</f>
        <v>0</v>
      </c>
      <c r="G18" s="195">
        <f>IF('Excepted Items Claim'!E51="none","&lt;---X","")</f>
      </c>
      <c r="H18" s="199">
        <f>IF(G18="&lt;---X",F18,"")</f>
      </c>
    </row>
    <row r="19" ht="15" thickBot="1">
      <c r="F19" s="174">
        <f>SUM(H16:H18)</f>
        <v>0</v>
      </c>
    </row>
    <row r="20" spans="3:6" ht="15">
      <c r="C20" s="194"/>
      <c r="F20" s="195"/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25"/>
  <sheetViews>
    <sheetView zoomScale="90" zoomScaleNormal="90" zoomScalePageLayoutView="0" workbookViewId="0" topLeftCell="A1">
      <selection activeCell="L21" sqref="L21"/>
    </sheetView>
  </sheetViews>
  <sheetFormatPr defaultColWidth="9.140625" defaultRowHeight="15"/>
  <cols>
    <col min="1" max="1" width="12.00390625" style="193" customWidth="1"/>
    <col min="2" max="2" width="22.7109375" style="193" customWidth="1"/>
    <col min="3" max="7" width="9.140625" style="193" customWidth="1"/>
    <col min="8" max="8" width="20.7109375" style="211" customWidth="1"/>
    <col min="9" max="9" width="3.00390625" style="193" customWidth="1"/>
    <col min="10" max="10" width="27.00390625" style="193" customWidth="1"/>
    <col min="11" max="11" width="12.7109375" style="193" customWidth="1"/>
    <col min="12" max="16384" width="9.140625" style="193" customWidth="1"/>
  </cols>
  <sheetData>
    <row r="1" spans="10:12" ht="15" thickBot="1">
      <c r="J1" s="251" t="s">
        <v>98</v>
      </c>
      <c r="K1" s="332" t="s">
        <v>125</v>
      </c>
      <c r="L1" s="333"/>
    </row>
    <row r="2" spans="3:13" ht="15" thickBot="1">
      <c r="C2" s="219" t="s">
        <v>92</v>
      </c>
      <c r="D2" s="220" t="s">
        <v>93</v>
      </c>
      <c r="E2" s="220" t="s">
        <v>94</v>
      </c>
      <c r="F2" s="220" t="s">
        <v>95</v>
      </c>
      <c r="G2" s="220" t="s">
        <v>96</v>
      </c>
      <c r="H2" s="221" t="s">
        <v>100</v>
      </c>
      <c r="J2" s="268">
        <f>'Excepted Items Claim'!E49</f>
        <v>0</v>
      </c>
      <c r="K2" s="334" t="s">
        <v>126</v>
      </c>
      <c r="L2" s="335"/>
      <c r="M2" s="270">
        <v>6.5</v>
      </c>
    </row>
    <row r="3" spans="2:13" ht="15" thickBot="1">
      <c r="B3" s="239" t="s">
        <v>97</v>
      </c>
      <c r="C3" s="215">
        <f>IF('Excepted Items Claim'!$E$35="Full Time",(IF('Excepted Items Claim'!$E$33="teacher",$M$2,IF('Excepted Items Claim'!$E$33="support staff",$M$3,0))),IF('Excepted Items Claim'!$E$35="part time",'Excepted Items Claim'!F41,0))</f>
        <v>0</v>
      </c>
      <c r="D3" s="216">
        <f>IF('Excepted Items Claim'!$E$35="Full Time",(IF('Excepted Items Claim'!$E$33="teacher",$M$2,IF('Excepted Items Claim'!$E$33="support staff",$M$3,0))),IF('Excepted Items Claim'!$E$35="part time",'Excepted Items Claim'!F42,0))</f>
        <v>0</v>
      </c>
      <c r="E3" s="216">
        <f>IF('Excepted Items Claim'!$E$35="Full Time",(IF('Excepted Items Claim'!$E$33="teacher",$M$2,IF('Excepted Items Claim'!$E$33="support staff",$M$3,0))),IF('Excepted Items Claim'!$E$35="part time",'Excepted Items Claim'!F43,0))</f>
        <v>0</v>
      </c>
      <c r="F3" s="216">
        <f>IF('Excepted Items Claim'!$E$35="Full Time",(IF('Excepted Items Claim'!$E$33="teacher",$M$2,IF('Excepted Items Claim'!$E$33="support staff",$M$3,0))),IF('Excepted Items Claim'!$E$35="part time",'Excepted Items Claim'!F44,0))</f>
        <v>0</v>
      </c>
      <c r="G3" s="216">
        <f>IF('Excepted Items Claim'!$E$35="Full Time",(IF('Excepted Items Claim'!$E$33="teacher",$M$2,IF('Excepted Items Claim'!$E$33="support staff",$M$3,0))),IF('Excepted Items Claim'!$E$35="part time",'Excepted Items Claim'!F45,0))</f>
        <v>0</v>
      </c>
      <c r="H3" s="214">
        <f>SUM(C3:G3)</f>
        <v>0</v>
      </c>
      <c r="I3" s="211"/>
      <c r="J3" s="269" t="s">
        <v>12</v>
      </c>
      <c r="K3" s="336" t="s">
        <v>118</v>
      </c>
      <c r="L3" s="337"/>
      <c r="M3" s="271">
        <v>7.4</v>
      </c>
    </row>
    <row r="4" spans="2:10" ht="15" thickBot="1">
      <c r="B4" s="240" t="s">
        <v>99</v>
      </c>
      <c r="C4" s="217" t="e">
        <f>$J$6*C3</f>
        <v>#VALUE!</v>
      </c>
      <c r="D4" s="218" t="e">
        <f>$J$6*D3</f>
        <v>#VALUE!</v>
      </c>
      <c r="E4" s="218" t="e">
        <f>$J$6*E3</f>
        <v>#VALUE!</v>
      </c>
      <c r="F4" s="218" t="e">
        <f>$J$6*F3</f>
        <v>#VALUE!</v>
      </c>
      <c r="G4" s="218" t="e">
        <f>$J$6*G3</f>
        <v>#VALUE!</v>
      </c>
      <c r="J4" s="250">
        <f>'Excepted Items Claim'!E53</f>
        <v>0</v>
      </c>
    </row>
    <row r="5" spans="2:18" ht="30" customHeight="1" thickBot="1">
      <c r="B5" s="19" t="s">
        <v>114</v>
      </c>
      <c r="J5" s="251" t="s">
        <v>101</v>
      </c>
      <c r="O5" s="338" t="s">
        <v>127</v>
      </c>
      <c r="P5" s="338"/>
      <c r="Q5" s="338"/>
      <c r="R5" s="338"/>
    </row>
    <row r="6" spans="1:18" ht="15" thickBot="1" thickTop="1">
      <c r="A6" s="236" t="s">
        <v>115</v>
      </c>
      <c r="B6" s="272" t="s">
        <v>110</v>
      </c>
      <c r="C6" s="279"/>
      <c r="D6" s="280"/>
      <c r="E6" s="280"/>
      <c r="F6" s="280"/>
      <c r="G6" s="281"/>
      <c r="H6" s="255">
        <f>IF(SUM(C6:G6)&gt;10,"Check Number of Days","")</f>
      </c>
      <c r="J6" s="249">
        <f>IF('Excepted Items Claim'!E33="support staff",(J4/365*7/37),IF('Excepted Items Claim'!E33="Teacher",('Excepted Items Claim'!E53/1265),""))</f>
      </c>
      <c r="O6" s="338"/>
      <c r="P6" s="338"/>
      <c r="Q6" s="338"/>
      <c r="R6" s="338"/>
    </row>
    <row r="7" spans="1:18" ht="14.25">
      <c r="A7" s="237"/>
      <c r="B7" s="273" t="s">
        <v>111</v>
      </c>
      <c r="C7" s="282"/>
      <c r="D7" s="257"/>
      <c r="E7" s="257"/>
      <c r="F7" s="257"/>
      <c r="G7" s="283"/>
      <c r="H7" s="255">
        <f>IF(SUM(C7:G7)&gt;190,"Check Number of Days","")</f>
      </c>
      <c r="K7" s="213"/>
      <c r="O7" s="338"/>
      <c r="P7" s="338"/>
      <c r="Q7" s="338"/>
      <c r="R7" s="338"/>
    </row>
    <row r="8" spans="1:18" ht="15" thickBot="1">
      <c r="A8" s="237"/>
      <c r="B8" s="274" t="s">
        <v>112</v>
      </c>
      <c r="C8" s="284"/>
      <c r="D8" s="258"/>
      <c r="E8" s="258"/>
      <c r="F8" s="258"/>
      <c r="G8" s="285"/>
      <c r="H8" s="255"/>
      <c r="K8" s="213"/>
      <c r="O8" s="338"/>
      <c r="P8" s="338"/>
      <c r="Q8" s="338"/>
      <c r="R8" s="338"/>
    </row>
    <row r="9" spans="1:18" ht="15" thickBot="1" thickTop="1">
      <c r="A9" s="235" t="s">
        <v>116</v>
      </c>
      <c r="B9" s="275" t="s">
        <v>110</v>
      </c>
      <c r="C9" s="286"/>
      <c r="D9" s="256"/>
      <c r="E9" s="256"/>
      <c r="F9" s="256"/>
      <c r="G9" s="287"/>
      <c r="H9" s="255">
        <f>IF(SUM(C9:G9)&gt;10,"Check Number of Days","")</f>
      </c>
      <c r="J9" s="340" t="s">
        <v>123</v>
      </c>
      <c r="K9" s="341"/>
      <c r="L9" s="291">
        <v>0.138</v>
      </c>
      <c r="O9" s="338"/>
      <c r="P9" s="338"/>
      <c r="Q9" s="338"/>
      <c r="R9" s="338"/>
    </row>
    <row r="10" spans="1:18" ht="14.25">
      <c r="A10" s="212"/>
      <c r="B10" s="276" t="s">
        <v>111</v>
      </c>
      <c r="C10" s="282"/>
      <c r="D10" s="257"/>
      <c r="E10" s="257"/>
      <c r="F10" s="257"/>
      <c r="G10" s="283"/>
      <c r="H10" s="255">
        <f>IF(SUM(C10:G10)&gt;190,"Check Number of Days","")</f>
      </c>
      <c r="J10" s="340" t="s">
        <v>124</v>
      </c>
      <c r="K10" s="341"/>
      <c r="L10" s="292">
        <v>0.138</v>
      </c>
      <c r="O10" s="338"/>
      <c r="P10" s="338"/>
      <c r="Q10" s="338"/>
      <c r="R10" s="338"/>
    </row>
    <row r="11" spans="1:18" ht="15" thickBot="1">
      <c r="A11" s="212"/>
      <c r="B11" s="277" t="s">
        <v>112</v>
      </c>
      <c r="C11" s="288"/>
      <c r="D11" s="289"/>
      <c r="E11" s="289"/>
      <c r="F11" s="289"/>
      <c r="G11" s="290"/>
      <c r="H11" s="255"/>
      <c r="J11" s="340" t="s">
        <v>122</v>
      </c>
      <c r="K11" s="341"/>
      <c r="L11" s="293">
        <v>0.21</v>
      </c>
      <c r="O11" s="339">
        <f>IF(OR(AND(C3&gt;0,C3&lt;4),AND(D3&gt;0,D3&lt;4),AND(E3&gt;0,E3&lt;4),AND(F3&gt;0,F3&lt;4),AND(H3&gt;0,H3&lt;4)),"Note: If combined hours for any day are less than 4, then the hourly rate needs to be combined and overtyped.","")</f>
      </c>
      <c r="P11" s="339"/>
      <c r="Q11" s="339"/>
      <c r="R11" s="339"/>
    </row>
    <row r="12" spans="1:18" ht="15" thickBot="1">
      <c r="A12" s="212"/>
      <c r="B12" s="259" t="s">
        <v>109</v>
      </c>
      <c r="C12" s="278" t="e">
        <f>C4*(C6+C7+C8)+((C9+C10+C11)*(IF(C3&gt;4,(4*$J$6),C4)))</f>
        <v>#VALUE!</v>
      </c>
      <c r="D12" s="278" t="e">
        <f>D4*(D6+D7+D8)+((D9+D10+D11)*(IF(D3&gt;4,(4*$J$6),D4)))</f>
        <v>#VALUE!</v>
      </c>
      <c r="E12" s="278" t="e">
        <f>E4*(E6+E7+E8)+((E9+E10+E11)*(IF(E3&gt;4,(4*$J$6),E4)))</f>
        <v>#VALUE!</v>
      </c>
      <c r="F12" s="278" t="e">
        <f>F4*(F6+F7+F8)+((F9+F10+F11)*(IF(F3&gt;4,(4*$J$6),F4)))</f>
        <v>#VALUE!</v>
      </c>
      <c r="G12" s="278" t="e">
        <f>G4*(G6+G7+G8)+((G9+G10+G11)*(IF(G3&gt;4,(4*$J$6),G4)))</f>
        <v>#VALUE!</v>
      </c>
      <c r="J12" s="340" t="s">
        <v>121</v>
      </c>
      <c r="K12" s="341"/>
      <c r="L12" s="294">
        <v>0.236</v>
      </c>
      <c r="O12" s="339"/>
      <c r="P12" s="339"/>
      <c r="Q12" s="339"/>
      <c r="R12" s="339"/>
    </row>
    <row r="13" spans="1:18" ht="15" thickTop="1">
      <c r="A13" s="212"/>
      <c r="B13" s="262" t="s">
        <v>119</v>
      </c>
      <c r="C13" s="261">
        <f>IF('Excepted Items Claim'!$E$51="none",0,IF('Excepted Items Claim'!$E$51="LGPS",'Jury Calculations'!C12*$L$11,IF('Excepted Items Claim'!$E$51="TPS",'Jury Calculations'!C12*$L$12,0)))</f>
        <v>0</v>
      </c>
      <c r="D13" s="260">
        <f>IF('Excepted Items Claim'!$E$51="none",0,IF('Excepted Items Claim'!$E$51="LGPS",'Jury Calculations'!D12*$L$11,IF('Excepted Items Claim'!$E$51="TPS",'Jury Calculations'!D12*$L$12,0)))</f>
        <v>0</v>
      </c>
      <c r="E13" s="260">
        <f>IF('Excepted Items Claim'!$E$51="none",0,IF('Excepted Items Claim'!$E$51="LGPS",'Jury Calculations'!E12*$L$11,IF('Excepted Items Claim'!$E$51="TPS",'Jury Calculations'!E12*$L$12,0)))</f>
        <v>0</v>
      </c>
      <c r="F13" s="260">
        <f>IF('Excepted Items Claim'!$E$51="none",0,IF('Excepted Items Claim'!$E$51="LGPS",'Jury Calculations'!F12*$L$11,IF('Excepted Items Claim'!$E$51="TPS",'Jury Calculations'!F12*$L$12,0)))</f>
        <v>0</v>
      </c>
      <c r="G13" s="260">
        <f>IF('Excepted Items Claim'!$E$51="none",0,IF('Excepted Items Claim'!$E$51="LGPS",'Jury Calculations'!G12*$L$11,IF('Excepted Items Claim'!$E$51="TPS",'Jury Calculations'!G12*$L$12,0)))</f>
        <v>0</v>
      </c>
      <c r="O13" s="339"/>
      <c r="P13" s="339"/>
      <c r="Q13" s="339"/>
      <c r="R13" s="339"/>
    </row>
    <row r="14" spans="1:18" ht="15" thickBot="1">
      <c r="A14" s="212"/>
      <c r="B14" s="263" t="s">
        <v>120</v>
      </c>
      <c r="C14" s="264">
        <f>IF('Excepted Items Claim'!$E$51="none",C12*$L$9,IF(OR('Excepted Items Claim'!$E$51="lgps",'Excepted Items Claim'!$E$51="tps"),C12*$L$10,0))</f>
        <v>0</v>
      </c>
      <c r="D14" s="265">
        <f>IF('Excepted Items Claim'!$E$51="none",D12*$L$9,IF(OR('Excepted Items Claim'!$E$51="lgps",'Excepted Items Claim'!$E$51="tps"),D12*$L$10,0))</f>
        <v>0</v>
      </c>
      <c r="E14" s="265">
        <f>IF('Excepted Items Claim'!$E$51="none",E12*$L$9,IF(OR('Excepted Items Claim'!$E$51="lgps",'Excepted Items Claim'!$E$51="tps"),E12*$L$10,0))</f>
        <v>0</v>
      </c>
      <c r="F14" s="265">
        <f>IF('Excepted Items Claim'!$E$51="none",F12*$L$9,IF(OR('Excepted Items Claim'!$E$51="lgps",'Excepted Items Claim'!$E$51="tps"),F12*$L$10,0))</f>
        <v>0</v>
      </c>
      <c r="G14" s="265">
        <f>IF('Excepted Items Claim'!$E$51="none",G12*$L$9,IF(OR('Excepted Items Claim'!$E$51="lgps",'Excepted Items Claim'!$E$51="tps"),G12*$L$10,0))</f>
        <v>0</v>
      </c>
      <c r="O14" s="339"/>
      <c r="P14" s="339"/>
      <c r="Q14" s="339"/>
      <c r="R14" s="339"/>
    </row>
    <row r="15" spans="1:18" ht="15" thickBot="1">
      <c r="A15" s="212"/>
      <c r="B15" s="266" t="s">
        <v>68</v>
      </c>
      <c r="C15" s="267" t="e">
        <f>SUM(C12:C14)</f>
        <v>#VALUE!</v>
      </c>
      <c r="D15" s="267" t="e">
        <f>SUM(D12:D14)</f>
        <v>#VALUE!</v>
      </c>
      <c r="E15" s="267" t="e">
        <f>SUM(E12:E14)</f>
        <v>#VALUE!</v>
      </c>
      <c r="F15" s="267" t="e">
        <f>SUM(F12:F14)</f>
        <v>#VALUE!</v>
      </c>
      <c r="G15" s="295" t="e">
        <f>SUM(G12:G14)</f>
        <v>#VALUE!</v>
      </c>
      <c r="H15" s="296" t="e">
        <f>SUM(C15:G15)</f>
        <v>#VALUE!</v>
      </c>
      <c r="O15" s="339"/>
      <c r="P15" s="339"/>
      <c r="Q15" s="339"/>
      <c r="R15" s="339"/>
    </row>
    <row r="16" spans="1:11" ht="30.75" customHeight="1" thickBot="1">
      <c r="A16" s="212"/>
      <c r="B16" s="19" t="s">
        <v>113</v>
      </c>
      <c r="J16" s="225" t="s">
        <v>102</v>
      </c>
      <c r="K16" s="225"/>
    </row>
    <row r="17" spans="1:11" ht="15" customHeight="1" thickBot="1">
      <c r="A17" s="236" t="s">
        <v>115</v>
      </c>
      <c r="B17" s="229" t="s">
        <v>110</v>
      </c>
      <c r="C17" s="243" t="e">
        <f>IF(C$4&gt;=$K$18,(IF(C6&gt;10,(10*$K$18),(C6*$K$18))),(IF(C6&gt;10,(10*C$4),(C6*C$4))))</f>
        <v>#VALUE!</v>
      </c>
      <c r="D17" s="243" t="e">
        <f>IF(D$4&gt;=$K$18,(IF(D6&gt;10,(10*$K$18),(D6*$K$18))),(IF(D6&gt;10,(10*D$4),(D6*D$4))))</f>
        <v>#VALUE!</v>
      </c>
      <c r="E17" s="243" t="e">
        <f>IF(E$4&gt;=$K$18,(IF(E6&gt;10,(10*$K$18),(E6*$K$18))),(IF(E6&gt;10,(10*E$4),(E6*E$4))))</f>
        <v>#VALUE!</v>
      </c>
      <c r="F17" s="243" t="e">
        <f>IF(F$4&gt;=$K$18,(IF(F6&gt;10,(10*$K$18),(F6*$K$18))),(IF(F6&gt;10,(10*F$4),(F6*F$4))))</f>
        <v>#VALUE!</v>
      </c>
      <c r="G17" s="243" t="e">
        <f>IF(G$4&gt;=$K$18,(IF(G6&gt;10,(10*$K$18),(G6*$K$18))),(IF(G6&gt;10,(10*G$4),(G6*G$4))))</f>
        <v>#VALUE!</v>
      </c>
      <c r="I17" s="226"/>
      <c r="J17" s="222" t="s">
        <v>103</v>
      </c>
      <c r="K17" s="223">
        <v>32.47</v>
      </c>
    </row>
    <row r="18" spans="1:11" ht="14.25" customHeight="1">
      <c r="A18" s="212"/>
      <c r="B18" s="230" t="s">
        <v>111</v>
      </c>
      <c r="C18" s="244" t="e">
        <f>IF(C$4&gt;=$K$20,(IF(C7&gt;190,(190*$K$20),(C7*$K$20))),(IF(C7&gt;190,(190*C$4),(C7*C$4))))</f>
        <v>#VALUE!</v>
      </c>
      <c r="D18" s="244" t="e">
        <f>IF(D$4&gt;=$K$20,(IF(D7&gt;190,(190*$K$20),(D7*$K$20))),(IF(D7&gt;190,(190*D$4),(D7*D$4))))</f>
        <v>#VALUE!</v>
      </c>
      <c r="E18" s="244" t="e">
        <f>IF(E$4&gt;=$K$20,(IF(E7&gt;190,(190*$K$20),(E7*$K$20))),(IF(E7&gt;190,(190*E$4),(E7*E$4))))</f>
        <v>#VALUE!</v>
      </c>
      <c r="F18" s="244" t="e">
        <f>IF(F$4&gt;=$K$20,(IF(F7&gt;190,(190*$K$20),(F7*$K$20))),(IF(F7&gt;190,(190*F$4),(F7*F$4))))</f>
        <v>#VALUE!</v>
      </c>
      <c r="G18" s="244" t="e">
        <f>IF(G$4&gt;=$K$20,(IF(G7&gt;190,(190*$K$20),(G7*$K$20))),(IF(G7&gt;190,(190*G$4),(G7*G$4))))</f>
        <v>#VALUE!</v>
      </c>
      <c r="I18" s="227"/>
      <c r="J18" s="222" t="s">
        <v>104</v>
      </c>
      <c r="K18" s="223">
        <v>64.95</v>
      </c>
    </row>
    <row r="19" spans="1:11" ht="15" thickBot="1">
      <c r="A19" s="212"/>
      <c r="B19" s="231" t="s">
        <v>112</v>
      </c>
      <c r="C19" s="245" t="e">
        <f>IF(C$4&gt;=$K$22,(C8*$K$22),(C8*C$4))</f>
        <v>#VALUE!</v>
      </c>
      <c r="D19" s="245" t="e">
        <f>IF(D$4&gt;=$K$22,(D8*$K$22),(D8*D$4))</f>
        <v>#VALUE!</v>
      </c>
      <c r="E19" s="245" t="e">
        <f>IF(E$4&gt;=$K$22,(E8*$K$22),(E8*E$4))</f>
        <v>#VALUE!</v>
      </c>
      <c r="F19" s="245" t="e">
        <f>IF(F$4&gt;=$K$22,(F8*$K$22),(F8*F$4))</f>
        <v>#VALUE!</v>
      </c>
      <c r="G19" s="245" t="e">
        <f>IF(G$4&gt;=$K$22,(G8*$K$22),(G8*G$4))</f>
        <v>#VALUE!</v>
      </c>
      <c r="I19" s="227"/>
      <c r="J19" s="224" t="s">
        <v>105</v>
      </c>
      <c r="K19" s="223">
        <v>64.95</v>
      </c>
    </row>
    <row r="20" spans="1:11" ht="15" thickBot="1">
      <c r="A20" s="235" t="s">
        <v>116</v>
      </c>
      <c r="B20" s="232" t="s">
        <v>110</v>
      </c>
      <c r="C20" s="246" t="e">
        <f>IF(C$4&gt;=$K$17,(IF(C9&gt;10,(10*$K$17),(C9*$K$17))),(IF(C9&gt;10,(10*C$4),(C9*C$4))))</f>
        <v>#VALUE!</v>
      </c>
      <c r="D20" s="243" t="e">
        <f>IF(D$4&gt;=$K$17,(IF(D9&gt;10,(10*$K$17),(D9*$K$17))),(IF(D9&gt;10,(10*D$4),(D9*D$4))))</f>
        <v>#VALUE!</v>
      </c>
      <c r="E20" s="243" t="e">
        <f>IF(E$4&gt;=$K$17,(IF(E9&gt;10,(10*$K$17),(E9*$K$17))),(IF(E9&gt;10,(10*E$4),(E9*E$4))))</f>
        <v>#VALUE!</v>
      </c>
      <c r="F20" s="243" t="e">
        <f>IF(F$4&gt;=$K$17,(IF(F9&gt;10,(10*$K$17),(F9*$K$17))),(IF(F9&gt;10,(10*F$4),(F9*F$4))))</f>
        <v>#VALUE!</v>
      </c>
      <c r="G20" s="243" t="e">
        <f>IF(G$4&gt;=$K$17,(IF(G9&gt;10,(10*$K$17),(G9*$K$17))),(IF(G9&gt;10,(10*G$4),(G9*G$4))))</f>
        <v>#VALUE!</v>
      </c>
      <c r="I20" s="227"/>
      <c r="J20" s="224" t="s">
        <v>106</v>
      </c>
      <c r="K20" s="223">
        <v>129.91</v>
      </c>
    </row>
    <row r="21" spans="1:11" ht="14.25">
      <c r="A21" s="19"/>
      <c r="B21" s="233" t="s">
        <v>111</v>
      </c>
      <c r="C21" s="247" t="e">
        <f>IF(C$4&gt;=$K$19,(IF(C10&gt;190,(190*$K$19),(C10*$K$19))),(IF(C10&gt;190,(190*C$4),(C10*C$4))))</f>
        <v>#VALUE!</v>
      </c>
      <c r="D21" s="244" t="e">
        <f>IF(D$4&gt;=$K$19,(IF(D10&gt;190,(190*$K$19),(D10*$K$19))),(IF(D10&gt;190,(190*D$4),(D10*D$4))))</f>
        <v>#VALUE!</v>
      </c>
      <c r="E21" s="244" t="e">
        <f>IF(E$4&gt;=$K$19,(IF(E10&gt;190,(190*$K$19),(E10*$K$19))),(IF(E10&gt;190,(190*E$4),(E10*E$4))))</f>
        <v>#VALUE!</v>
      </c>
      <c r="F21" s="244" t="e">
        <f>IF(F$4&gt;=$K$19,(IF(F10&gt;190,(190*$K$19),(F10*$K$19))),(IF(F10&gt;190,(190*F$4),(F10*F$4))))</f>
        <v>#VALUE!</v>
      </c>
      <c r="G21" s="244" t="e">
        <f>IF(G$4&gt;=$K$19,(IF(G10&gt;190,(190*$K$19),(G10*$K$19))),(IF(G10&gt;190,(190*G$4),(G10*G$4))))</f>
        <v>#VALUE!</v>
      </c>
      <c r="I21" s="227"/>
      <c r="J21" s="224" t="s">
        <v>107</v>
      </c>
      <c r="K21" s="223">
        <v>114.03</v>
      </c>
    </row>
    <row r="22" spans="2:11" ht="15" thickBot="1">
      <c r="B22" s="234" t="s">
        <v>112</v>
      </c>
      <c r="C22" s="248" t="e">
        <f>IF(C$4&gt;=$K$21,(C11*$K$21),(C11*C$4))</f>
        <v>#VALUE!</v>
      </c>
      <c r="D22" s="245" t="e">
        <f>IF(D$4&gt;=$K$21,(D11*$K$21),(D11*D$4))</f>
        <v>#VALUE!</v>
      </c>
      <c r="E22" s="245" t="e">
        <f>IF(E$4&gt;=$K$21,(E11*$K$21),(E11*E$4))</f>
        <v>#VALUE!</v>
      </c>
      <c r="F22" s="245" t="e">
        <f>IF(F$4&gt;=$K$21,(F11*$K$21),(F11*F$4))</f>
        <v>#VALUE!</v>
      </c>
      <c r="G22" s="245" t="e">
        <f>IF(G$4&gt;=$K$21,(G11*$K$21),(G11*G$4))</f>
        <v>#VALUE!</v>
      </c>
      <c r="I22" s="227"/>
      <c r="J22" s="224" t="s">
        <v>108</v>
      </c>
      <c r="K22" s="223">
        <v>228.06</v>
      </c>
    </row>
    <row r="23" spans="2:11" ht="15" thickBot="1">
      <c r="B23" s="238" t="s">
        <v>109</v>
      </c>
      <c r="C23" s="267" t="e">
        <f>SUM(C17:C22)</f>
        <v>#VALUE!</v>
      </c>
      <c r="D23" s="267" t="e">
        <f>SUM(D17:D22)</f>
        <v>#VALUE!</v>
      </c>
      <c r="E23" s="267" t="e">
        <f>SUM(E17:E22)</f>
        <v>#VALUE!</v>
      </c>
      <c r="F23" s="267" t="e">
        <f>SUM(F17:F22)</f>
        <v>#VALUE!</v>
      </c>
      <c r="G23" s="295" t="e">
        <f>SUM(G17:G22)</f>
        <v>#VALUE!</v>
      </c>
      <c r="H23" s="296" t="e">
        <f>SUM(C23:G23)</f>
        <v>#VALUE!</v>
      </c>
      <c r="I23" s="227"/>
      <c r="J23" s="241"/>
      <c r="K23" s="242"/>
    </row>
    <row r="24" spans="9:11" ht="15" thickBot="1">
      <c r="I24" s="227"/>
      <c r="K24" s="228"/>
    </row>
    <row r="25" spans="2:8" ht="18.75" thickBot="1">
      <c r="B25" s="252" t="s">
        <v>117</v>
      </c>
      <c r="C25" s="253" t="e">
        <f>C15-C23</f>
        <v>#VALUE!</v>
      </c>
      <c r="D25" s="253" t="e">
        <f>D15-D23</f>
        <v>#VALUE!</v>
      </c>
      <c r="E25" s="253" t="e">
        <f>E15-E23</f>
        <v>#VALUE!</v>
      </c>
      <c r="F25" s="253" t="e">
        <f>F15-F23</f>
        <v>#VALUE!</v>
      </c>
      <c r="G25" s="253" t="e">
        <f>G15-G23</f>
        <v>#VALUE!</v>
      </c>
      <c r="H25" s="254" t="e">
        <f>SUM(C25:G25)</f>
        <v>#VALUE!</v>
      </c>
    </row>
  </sheetData>
  <sheetProtection/>
  <mergeCells count="9">
    <mergeCell ref="K1:L1"/>
    <mergeCell ref="K2:L2"/>
    <mergeCell ref="K3:L3"/>
    <mergeCell ref="O5:R10"/>
    <mergeCell ref="O11:R15"/>
    <mergeCell ref="J9:K9"/>
    <mergeCell ref="J10:K10"/>
    <mergeCell ref="J11:K11"/>
    <mergeCell ref="J12:K12"/>
  </mergeCells>
  <dataValidations count="1">
    <dataValidation type="whole" allowBlank="1" showInputMessage="1" showErrorMessage="1" errorTitle="Maximum Days allowed = 10" error="Maximum Days allowed = 10" sqref="I18">
      <formula1>0</formula1>
      <formula2>10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4"/>
  <sheetViews>
    <sheetView zoomScalePageLayoutView="0" workbookViewId="0" topLeftCell="A1">
      <selection activeCell="A4" sqref="A4"/>
    </sheetView>
  </sheetViews>
  <sheetFormatPr defaultColWidth="9.140625" defaultRowHeight="15"/>
  <cols>
    <col min="2" max="3" width="27.140625" style="0" bestFit="1" customWidth="1"/>
    <col min="4" max="5" width="33.140625" style="0" bestFit="1" customWidth="1"/>
  </cols>
  <sheetData>
    <row r="1" spans="1:5" ht="14.25">
      <c r="A1" t="s">
        <v>147</v>
      </c>
      <c r="B1" t="s">
        <v>147</v>
      </c>
      <c r="C1" t="s">
        <v>143</v>
      </c>
      <c r="D1" t="s">
        <v>145</v>
      </c>
      <c r="E1" t="s">
        <v>146</v>
      </c>
    </row>
    <row r="2" spans="1:5" ht="14.25">
      <c r="A2" t="s">
        <v>143</v>
      </c>
      <c r="B2" t="s">
        <v>141</v>
      </c>
      <c r="C2" t="s">
        <v>141</v>
      </c>
      <c r="D2" t="s">
        <v>142</v>
      </c>
      <c r="E2" t="s">
        <v>142</v>
      </c>
    </row>
    <row r="3" spans="1:5" ht="14.25">
      <c r="A3" t="s">
        <v>145</v>
      </c>
      <c r="B3" t="s">
        <v>140</v>
      </c>
      <c r="C3" t="s">
        <v>140</v>
      </c>
      <c r="D3" t="s">
        <v>144</v>
      </c>
      <c r="E3" t="s">
        <v>144</v>
      </c>
    </row>
    <row r="4" ht="14.25">
      <c r="A4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stewaj04</dc:creator>
  <cp:keywords/>
  <dc:description/>
  <cp:lastModifiedBy>Packham, Alysa - Cantium</cp:lastModifiedBy>
  <dcterms:created xsi:type="dcterms:W3CDTF">2012-08-29T10:59:53Z</dcterms:created>
  <dcterms:modified xsi:type="dcterms:W3CDTF">2020-11-02T15:47:29Z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Attwell, Elaine - ST INF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stewaj04</vt:lpwstr>
  </property>
  <property fmtid="{D5CDD505-2E9C-101B-9397-08002B2CF9AE}" pid="5" name="ContentTypeId">
    <vt:lpwstr>0x0101008F66DA6B4CCBC14A9EF087293A0DD16D</vt:lpwstr>
  </property>
</Properties>
</file>